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2024" sheetId="2" r:id="rId1"/>
    <sheet name="2023" sheetId="1" r:id="rId2"/>
    <sheet name="2022" sheetId="3" r:id="rId3"/>
    <sheet name="2021" sheetId="4" r:id="rId4"/>
    <sheet name="2020" sheetId="5" r:id="rId5"/>
    <sheet name="2019" sheetId="6" r:id="rId6"/>
    <sheet name="2018" sheetId="7" r:id="rId7"/>
    <sheet name="2017" sheetId="8" r:id="rId8"/>
    <sheet name="2016" sheetId="9" r:id="rId9"/>
    <sheet name="2015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a">#REF!</definedName>
    <definedName name="\m">#REF!</definedName>
    <definedName name="\n">#REF!</definedName>
    <definedName name="\o">#REF!</definedName>
    <definedName name="_r">[0]!_r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CompOt">[0]!CompOt</definedName>
    <definedName name="CompRas">[0]!CompRas</definedName>
    <definedName name="ew">[0]!ew</definedName>
    <definedName name="fg">[0]!fg</definedName>
    <definedName name="god">[2]Титульный!$M$5</definedName>
    <definedName name="Helper_ТЭС_Котельные">[3]Справочники!$A$2:$A$4,[3]Справочники!$A$16:$A$18</definedName>
    <definedName name="org">[2]Титульный!$F$10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'[4]16'!$E$15:$I$16,'[4]16'!$E$18:$I$20,'[4]16'!$E$23:$I$23,'[4]16'!$E$26:$I$26,'[4]16'!$E$29:$I$29,'[4]16'!$E$32:$I$32,'[4]16'!$E$35:$I$35,'[4]16'!$B$34,'[4]16'!$B$37</definedName>
    <definedName name="P1_SCOPE_17_PRT" hidden="1">'[4]17'!$E$13:$H$21,'[4]17'!$J$9:$J$11,'[4]17'!$J$13:$J$21,'[4]17'!$E$24:$H$26,'[4]17'!$E$28:$H$36,'[4]17'!$J$24:$M$26,'[4]17'!$J$28:$M$36,'[4]17'!$E$39:$H$41</definedName>
    <definedName name="P1_SCOPE_4_PRT" hidden="1">'[4]4'!$F$23:$I$23,'[4]4'!$F$25:$I$25,'[4]4'!$F$27:$I$31,'[4]4'!$K$14:$N$20,'[4]4'!$K$23:$N$23,'[4]4'!$K$25:$N$25,'[4]4'!$K$27:$N$31,'[4]4'!$P$14:$S$20,'[4]4'!$P$23:$S$23</definedName>
    <definedName name="P1_SCOPE_5_PRT" hidden="1">'[4]5'!$F$23:$I$23,'[4]5'!$F$25:$I$25,'[4]5'!$F$27:$I$31,'[4]5'!$K$14:$N$21,'[4]5'!$K$23:$N$23,'[4]5'!$K$25:$N$25,'[4]5'!$K$27:$N$31,'[4]5'!$P$14:$S$21,'[4]5'!$P$23:$S$23</definedName>
    <definedName name="P1_SCOPE_F1_PRT" hidden="1">'[4]Ф-1 (для АО-энерго)'!$D$74:$E$84,'[4]Ф-1 (для АО-энерго)'!$D$71:$E$72,'[4]Ф-1 (для АО-энерго)'!$D$66:$E$69,'[4]Ф-1 (для АО-энерго)'!$D$61:$E$64</definedName>
    <definedName name="P1_SCOPE_F2_PRT" hidden="1">'[4]Ф-2 (для АО-энерго)'!$G$56,'[4]Ф-2 (для АО-энерго)'!$E$55:$E$56,'[4]Ф-2 (для АО-энерго)'!$F$55:$G$55,'[4]Ф-2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[4]перекрестка!$H$15:$H$19,[4]перекрестка!$H$21:$H$25,[4]перекрестка!$J$14:$J$25,[4]перекрестка!$K$15:$K$19,[4]перекрестка!$K$21:$K$25</definedName>
    <definedName name="P1_SCOPE_SV_LD" hidden="1">#REF!,#REF!,#REF!,#REF!,#REF!,#REF!,#REF!</definedName>
    <definedName name="P1_SCOPE_SV_LD1" hidden="1">#REF!,#REF!,#REF!,#REF!,#REF!,#REF!,#REF!</definedName>
    <definedName name="P1_SCOPE_SV_PRT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[5]перекрестка!$J$42:$K$46,[5]перекрестка!$J$49,[5]перекрестка!$J$50:$K$54,[5]перекрестка!$J$55,[5]перекрестка!$J$56:$K$60,[5]перекрестка!$J$62:$K$66</definedName>
    <definedName name="P1_T16_Protect" hidden="1">#REF!,#REF!,#REF!,#REF!,#REF!,#REF!,#REF!,#REF!</definedName>
    <definedName name="P1_T17?L4">'[3]29'!$J$18:$J$25,'[3]29'!$G$18:$G$25,'[3]29'!$G$35:$G$42,'[3]29'!$J$35:$J$42,'[3]29'!$G$60,'[3]29'!$J$60,'[3]29'!$M$60,'[3]29'!$P$60,'[3]29'!$P$18:$P$25,'[3]29'!$G$9:$G$16</definedName>
    <definedName name="P1_T17?unit?РУБ.ГКАЛ">'[3]29'!$F$44:$F$51,'[3]29'!$I$44:$I$51,'[3]29'!$L$44:$L$51,'[3]29'!$F$18:$F$25,'[3]29'!$I$60,'[3]29'!$L$60,'[3]29'!$O$60,'[3]29'!$F$60,'[3]29'!$F$9:$F$16,'[3]29'!$I$9:$I$16</definedName>
    <definedName name="P1_T17?unit?ТГКАЛ">'[3]29'!$M$18:$M$25,'[3]29'!$J$18:$J$25,'[3]29'!$G$18:$G$25,'[3]29'!$G$35:$G$42,'[3]29'!$J$35:$J$42,'[3]29'!$G$60,'[3]29'!$J$60,'[3]29'!$M$60,'[3]29'!$P$60,'[3]29'!$G$9:$G$16</definedName>
    <definedName name="P1_T17_Protection">'[3]29'!$O$47:$P$51,'[3]29'!$L$47:$M$51,'[3]29'!$L$53:$M$53,'[3]29'!$L$55:$M$59,'[3]29'!$O$53:$P$53,'[3]29'!$O$55:$P$59,'[3]29'!$F$12:$G$16,'[3]29'!$F$10:$G$10</definedName>
    <definedName name="P1_T18.2_Protect" hidden="1">'[5]18.2'!$F$12:$J$19,'[5]18.2'!$F$22:$J$25,'[5]18.2'!$B$28:$J$30,'[5]18.2'!$F$32:$J$32,'[5]18.2'!$B$34:$J$36,'[5]18.2'!$F$40:$J$45,'[5]18.2'!$F$52:$J$52</definedName>
    <definedName name="P1_T20_Protection" hidden="1">'[3]20'!$E$4:$H$4,'[3]20'!$E$13:$H$13,'[3]20'!$E$16:$H$17,'[3]20'!$E$19:$H$19,'[3]20'!$J$4:$M$4,'[3]20'!$J$8:$M$11,'[3]20'!$J$13:$M$13,'[3]20'!$J$16:$M$17,'[3]20'!$J$19:$M$19</definedName>
    <definedName name="P1_T21_Protection">'[3]21'!$O$31:$S$33,'[3]21'!$E$11,'[3]21'!$G$11:$K$11,'[3]21'!$M$11,'[3]21'!$O$11:$S$11,'[3]21'!$E$14:$E$16,'[3]21'!$G$14:$K$16,'[3]21'!$M$14:$M$16,'[3]21'!$O$14:$S$16</definedName>
    <definedName name="P1_T23_Protection">'[3]23'!$F$9:$J$25,'[3]23'!$O$9:$P$25,'[3]23'!$A$32:$A$34,'[3]23'!$F$32:$J$34,'[3]23'!$O$32:$P$34,'[3]23'!$A$37:$A$53,'[3]23'!$F$37:$J$53,'[3]23'!$O$37:$P$53</definedName>
    <definedName name="P1_T25_protection">'[3]25'!$G$8:$J$21,'[3]25'!$G$24:$J$28,'[3]25'!$G$30:$J$33,'[3]25'!$G$35:$J$37,'[3]25'!$G$41:$J$42,'[3]25'!$L$8:$O$21,'[3]25'!$L$24:$O$28,'[3]25'!$L$30:$O$33</definedName>
    <definedName name="P1_T26_Protection">'[3]26'!$B$34:$B$36,'[3]26'!$F$8:$I$8,'[3]26'!$F$10:$I$11,'[3]26'!$F$13:$I$15,'[3]26'!$F$18:$I$19,'[3]26'!$F$22:$I$24,'[3]26'!$F$26:$I$26,'[3]26'!$F$29:$I$32</definedName>
    <definedName name="P1_T27_Protection">'[3]27'!$B$34:$B$36,'[3]27'!$F$8:$I$8,'[3]27'!$F$10:$I$11,'[3]27'!$F$13:$I$15,'[3]27'!$F$18:$I$19,'[3]27'!$F$22:$I$24,'[3]27'!$F$26:$I$26,'[3]27'!$F$29:$I$32</definedName>
    <definedName name="P1_T28?axis?R?ПЭ">'[3]28'!$D$16:$I$18,'[3]28'!$D$22:$I$24,'[3]28'!$D$28:$I$30,'[3]28'!$D$37:$I$39,'[3]28'!$D$42:$I$44,'[3]28'!$D$48:$I$50,'[3]28'!$D$54:$I$56,'[3]28'!$D$63:$I$65</definedName>
    <definedName name="P1_T28?axis?R?ПЭ?">'[3]28'!$B$16:$B$18,'[3]28'!$B$22:$B$24,'[3]28'!$B$28:$B$30,'[3]28'!$B$37:$B$39,'[3]28'!$B$42:$B$44,'[3]28'!$B$48:$B$50,'[3]28'!$B$54:$B$56,'[3]28'!$B$63:$B$65</definedName>
    <definedName name="P1_T28?Data">'[3]28'!$G$242:$H$265,'[3]28'!$D$242:$E$265,'[3]28'!$G$216:$H$239,'[3]28'!$D$268:$E$292,'[3]28'!$G$268:$H$292,'[3]28'!$D$216:$E$239,'[3]28'!$G$190:$H$213</definedName>
    <definedName name="P1_T28_Protection">'[3]28'!$B$74:$B$76,'[3]28'!$B$80:$B$82,'[3]28'!$B$89:$B$91,'[3]28'!$B$94:$B$96,'[3]28'!$B$100:$B$102,'[3]28'!$B$106:$B$108,'[3]28'!$B$115:$B$117,'[3]28'!$B$120:$B$122</definedName>
    <definedName name="P1_T4_Protect" hidden="1">'[5]4'!$G$20:$J$20,'[5]4'!$G$22:$J$22,'[5]4'!$G$24:$J$28,'[5]4'!$L$11:$O$17,'[5]4'!$L$20:$O$20,'[5]4'!$L$22:$O$22,'[5]4'!$L$24:$O$28,'[5]4'!$Q$11:$T$17,'[5]4'!$Q$20:$T$20</definedName>
    <definedName name="P1_T6_Protect" hidden="1">'[5]6'!$D$46:$H$55,'[5]6'!$J$46:$N$55,'[5]6'!$D$57:$H$59,'[5]6'!$J$57:$N$59,'[5]6'!$B$10:$B$19,'[5]6'!$D$10:$H$19,'[5]6'!$J$10:$N$19,'[5]6'!$D$21:$H$23,'[5]6'!$J$21:$N$23</definedName>
    <definedName name="P10_T1_Protect" hidden="1">[5]перекрестка!$F$42:$H$46,[5]перекрестка!$F$49:$G$49,[5]перекрестка!$F$50:$H$54,[5]перекрестка!$F$55:$G$55,[5]перекрестка!$F$56:$H$60</definedName>
    <definedName name="P10_T28_Protection">'[3]28'!$G$167:$H$169,'[3]28'!$D$172:$E$174,'[3]28'!$G$172:$H$174,'[3]28'!$D$178:$E$180,'[3]28'!$G$178:$H$181,'[3]28'!$D$184:$E$186,'[3]28'!$G$184:$H$186</definedName>
    <definedName name="P11_T1_Protect" hidden="1">[5]перекрестка!$F$62:$H$66,[5]перекрестка!$F$68:$H$72,[5]перекрестка!$F$74:$H$78,[5]перекрестка!$F$80:$H$84,[5]перекрестка!$F$89:$G$89</definedName>
    <definedName name="P11_T28_Protection">'[3]28'!$D$193:$E$195,'[3]28'!$G$193:$H$195,'[3]28'!$D$198:$E$200,'[3]28'!$G$198:$H$200,'[3]28'!$D$204:$E$206,'[3]28'!$G$204:$H$206,'[3]28'!$D$210:$E$212,'[3]28'!$B$68:$B$70</definedName>
    <definedName name="P12_T1_Protect" hidden="1">[5]перекрестка!$F$90:$H$94,[5]перекрестка!$F$95:$G$95,[5]перекрестка!$F$96:$H$100,[5]перекрестка!$F$102:$H$106,[5]перекрестка!$F$108:$H$112</definedName>
    <definedName name="P12_T28_Protection">P1_T28_Protection,P2_T28_Protection,P3_T28_Protection,P4_T28_Protection,P5_T28_Protection,P6_T28_Protection,P7_T28_Protection,P8_T28_Protection</definedName>
    <definedName name="P13_T1_Protect" hidden="1">[5]перекрестка!$F$114:$H$118,[5]перекрестка!$F$120:$H$124,[5]перекрестка!$F$127:$G$127,[5]перекрестка!$F$128:$H$132,[5]перекрестка!$F$133:$G$133</definedName>
    <definedName name="P14_T1_Protect" hidden="1">[5]перекрестка!$F$134:$H$138,[5]перекрестка!$F$140:$H$144,[5]перекрестка!$F$146:$H$150,[5]перекрестка!$F$152:$H$156,[5]перекрестка!$F$158:$H$162</definedName>
    <definedName name="P15_T1_Protect" hidden="1">[5]перекрестка!$J$158:$K$162,[5]перекрестка!$J$152:$K$156,[5]перекрестка!$J$146:$K$150,[5]перекрестка!$J$140:$K$144,[5]перекрестка!$J$11</definedName>
    <definedName name="P16_T1_Protect" hidden="1">[5]перекрестка!$J$12:$K$16,[5]перекрестка!$J$17,[5]перекрестка!$J$18:$K$22,[5]перекрестка!$J$24:$K$28,[5]перекрестка!$J$30:$K$34,[5]перекрестка!$F$23:$G$23</definedName>
    <definedName name="P17_T1_Protect" hidden="1">[5]перекрестка!$F$29:$G$29,[5]перекрестка!$F$61:$G$61,[5]перекрестка!$F$67:$G$67,[5]перекрестка!$F$101:$G$101,[5]перекрестка!$F$107:$G$107</definedName>
    <definedName name="P18_T1_Protect" hidden="1">[5]перекрестка!$F$139:$G$139,[5]перекрестка!$F$145:$G$145,[5]перекрестка!$J$36:$K$40,P1_T1_Protect,P2_T1_Protect,P3_T1_Protect,P4_T1_Protect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'[4]16'!$E$38:$I$38,'[4]16'!$E$41:$I$41,'[4]16'!$E$45:$I$47,'[4]16'!$E$49:$I$49,'[4]16'!$E$53:$I$54,'[4]16'!$E$56:$I$57,'[4]16'!$E$59:$I$59,'[4]16'!$E$9:$I$13</definedName>
    <definedName name="P2_SCOPE_4_PRT" hidden="1">'[4]4'!$P$25:$S$25,'[4]4'!$P$27:$S$31,'[4]4'!$U$14:$X$20,'[4]4'!$U$23:$X$23,'[4]4'!$U$25:$X$25,'[4]4'!$U$27:$X$31,'[4]4'!$Z$14:$AC$20,'[4]4'!$Z$23:$AC$23,'[4]4'!$Z$25:$AC$25</definedName>
    <definedName name="P2_SCOPE_5_PRT" hidden="1">'[4]5'!$P$25:$S$25,'[4]5'!$P$27:$S$31,'[4]5'!$U$14:$X$21,'[4]5'!$U$23:$X$23,'[4]5'!$U$25:$X$25,'[4]5'!$U$27:$X$31,'[4]5'!$Z$14:$AC$21,'[4]5'!$Z$23:$AC$23,'[4]5'!$Z$25:$AC$25</definedName>
    <definedName name="P2_SCOPE_F1_PRT" hidden="1">'[4]Ф-1 (для АО-энерго)'!$D$56:$E$59,'[4]Ф-1 (для АО-энерго)'!$D$34:$E$50,'[4]Ф-1 (для АО-энерго)'!$D$32:$E$32,'[4]Ф-1 (для АО-энерго)'!$D$23:$E$30</definedName>
    <definedName name="P2_SCOPE_F2_PRT" hidden="1">'[4]Ф-2 (для АО-энерго)'!$D$52:$G$54,'[4]Ф-2 (для АО-энерго)'!$C$21:$E$42,'[4]Ф-2 (для АО-энерго)'!$A$12:$E$12,'[4]Ф-2 (для АО-энерго)'!$C$8:$E$11</definedName>
    <definedName name="P2_SCOPE_PER_PRT" hidden="1">[4]перекрестка!$N$14:$N$25,[4]перекрестка!$N$27:$N$31,[4]перекрестка!$J$27:$K$31,[4]перекрестка!$F$27:$H$31,[4]перекрестка!$F$33:$H$37</definedName>
    <definedName name="P2_SCOPE_SV_PRT" hidden="1">#REF!,#REF!,#REF!,#REF!,#REF!,#REF!,#REF!</definedName>
    <definedName name="P2_T1_Protect" hidden="1">[5]перекрестка!$J$68:$K$72,[5]перекрестка!$J$74:$K$78,[5]перекрестка!$J$80:$K$84,[5]перекрестка!$J$89,[5]перекрестка!$J$90:$K$94,[5]перекрестка!$J$95</definedName>
    <definedName name="P2_T17?L4">'[3]29'!$J$9:$J$16,'[3]29'!$M$9:$M$16,'[3]29'!$P$9:$P$16,'[3]29'!$G$44:$G$51,'[3]29'!$J$44:$J$51,'[3]29'!$M$44:$M$51,'[3]29'!$M$35:$M$42,'[3]29'!$P$35:$P$42,'[3]29'!$P$44:$P$51</definedName>
    <definedName name="P2_T17?unit?РУБ.ГКАЛ">'[3]29'!$I$18:$I$25,'[3]29'!$L$9:$L$16,'[3]29'!$L$18:$L$25,'[3]29'!$O$9:$O$16,'[3]29'!$F$35:$F$42,'[3]29'!$I$35:$I$42,'[3]29'!$L$35:$L$42,'[3]29'!$O$35:$O$51</definedName>
    <definedName name="P2_T17?unit?ТГКАЛ">'[3]29'!$J$9:$J$16,'[3]29'!$M$9:$M$16,'[3]29'!$P$9:$P$16,'[3]29'!$M$35:$M$42,'[3]29'!$P$35:$P$42,'[3]29'!$G$44:$G$51,'[3]29'!$J$44:$J$51,'[3]29'!$M$44:$M$51,'[3]29'!$P$44:$P$51</definedName>
    <definedName name="P2_T17_Protection">'[3]29'!$F$19:$G$19,'[3]29'!$F$21:$G$25,'[3]29'!$F$27:$G$27,'[3]29'!$F$29:$G$33,'[3]29'!$F$36:$G$36,'[3]29'!$F$38:$G$42,'[3]29'!$F$45:$G$45,'[3]29'!$F$47:$G$51</definedName>
    <definedName name="P2_T21_Protection">'[3]21'!$E$20:$E$22,'[3]21'!$G$20:$K$22,'[3]21'!$M$20:$M$22,'[3]21'!$O$20:$S$22,'[3]21'!$E$26:$E$28,'[3]21'!$G$26:$K$28,'[3]21'!$M$26:$M$28,'[3]21'!$O$26:$S$28</definedName>
    <definedName name="P2_T25_protection">'[3]25'!$L$35:$O$37,'[3]25'!$L$41:$O$42,'[3]25'!$Q$8:$T$21,'[3]25'!$Q$24:$T$28,'[3]25'!$Q$30:$T$33,'[3]25'!$Q$35:$T$37,'[3]25'!$Q$41:$T$42,'[3]25'!$B$35:$B$37</definedName>
    <definedName name="P2_T26_Protection">'[3]26'!$F$34:$I$36,'[3]26'!$K$8:$N$8,'[3]26'!$K$10:$N$11,'[3]26'!$K$13:$N$15,'[3]26'!$K$18:$N$19,'[3]26'!$K$22:$N$24,'[3]26'!$K$26:$N$26,'[3]26'!$K$29:$N$32</definedName>
    <definedName name="P2_T27_Protection">'[3]27'!$F$34:$I$36,'[3]27'!$K$8:$N$8,'[3]27'!$K$10:$N$11,'[3]27'!$K$13:$N$15,'[3]27'!$K$18:$N$19,'[3]27'!$K$22:$N$24,'[3]27'!$K$26:$N$26,'[3]27'!$K$29:$N$32</definedName>
    <definedName name="P2_T28?axis?R?ПЭ">'[3]28'!$D$68:$I$70,'[3]28'!$D$74:$I$76,'[3]28'!$D$80:$I$82,'[3]28'!$D$89:$I$91,'[3]28'!$D$94:$I$96,'[3]28'!$D$100:$I$102,'[3]28'!$D$106:$I$108,'[3]28'!$D$115:$I$117</definedName>
    <definedName name="P2_T28?axis?R?ПЭ?">'[3]28'!$B$68:$B$70,'[3]28'!$B$74:$B$76,'[3]28'!$B$80:$B$82,'[3]28'!$B$89:$B$91,'[3]28'!$B$94:$B$96,'[3]28'!$B$100:$B$102,'[3]28'!$B$106:$B$108,'[3]28'!$B$115:$B$117</definedName>
    <definedName name="P2_T28_Protection">'[3]28'!$B$126:$B$128,'[3]28'!$B$132:$B$134,'[3]28'!$B$141:$B$143,'[3]28'!$B$146:$B$148,'[3]28'!$B$152:$B$154,'[3]28'!$B$158:$B$160,'[3]28'!$B$167:$B$169</definedName>
    <definedName name="P2_T4_Protect" hidden="1">'[5]4'!$Q$22:$T$22,'[5]4'!$Q$24:$T$28,'[5]4'!$V$24:$Y$28,'[5]4'!$V$22:$Y$22,'[5]4'!$V$20:$Y$20,'[5]4'!$V$11:$Y$17,'[5]4'!$AA$11:$AD$17,'[5]4'!$AA$20:$AD$20,'[5]4'!$AA$22:$AD$22</definedName>
    <definedName name="P3_SCOPE_F1_PRT" hidden="1">'[4]Ф-1 (для АО-энерго)'!$E$16:$E$17,'[4]Ф-1 (для АО-энерго)'!$C$4:$D$4,'[4]Ф-1 (для АО-энерго)'!$C$7:$E$10,'[4]Ф-1 (для АО-энерго)'!$A$11:$E$11</definedName>
    <definedName name="P3_SCOPE_PER_PRT" hidden="1">[4]перекрестка!$J$33:$K$37,[4]перекрестка!$N$33:$N$37,[4]перекрестка!$F$39:$H$43,[4]перекрестка!$J$39:$K$43,[4]перекрестка!$N$39:$N$43</definedName>
    <definedName name="P3_SCOPE_SV_PRT" hidden="1">#REF!,#REF!,#REF!,#REF!,#REF!,#REF!,#REF!</definedName>
    <definedName name="P3_T1_Protect" hidden="1">[5]перекрестка!$J$96:$K$100,[5]перекрестка!$J$102:$K$106,[5]перекрестка!$J$108:$K$112,[5]перекрестка!$J$114:$K$118,[5]перекрестка!$J$120:$K$124</definedName>
    <definedName name="P3_T17_Protection">'[3]29'!$F$53:$G$53,'[3]29'!$F$55:$G$59,'[3]29'!$I$55:$J$59,'[3]29'!$I$53:$J$53,'[3]29'!$I$47:$J$51,'[3]29'!$I$45:$J$45,'[3]29'!$I$38:$J$42,'[3]29'!$I$36:$J$36</definedName>
    <definedName name="P3_T21_Protection">'[3]21'!$E$31:$E$33,'[3]21'!$G$31:$K$33,'[3]21'!$B$14:$B$16,'[3]21'!$B$20:$B$22,'[3]21'!$B$26:$B$28,'[3]21'!$B$31:$B$33,'[3]21'!$M$31:$M$33,P1_T21_Protection</definedName>
    <definedName name="P3_T27_Protection">'[3]27'!$K$34:$N$36,'[3]27'!$P$8:$S$8,'[3]27'!$P$10:$S$11,'[3]27'!$P$13:$S$15,'[3]27'!$P$18:$S$19,'[3]27'!$P$22:$S$24,'[3]27'!$P$26:$S$26,'[3]27'!$P$29:$S$32</definedName>
    <definedName name="P3_T28?axis?R?ПЭ">'[3]28'!$D$120:$I$122,'[3]28'!$D$126:$I$128,'[3]28'!$D$132:$I$134,'[3]28'!$D$141:$I$143,'[3]28'!$D$146:$I$148,'[3]28'!$D$152:$I$154,'[3]28'!$D$158:$I$160</definedName>
    <definedName name="P3_T28?axis?R?ПЭ?">'[3]28'!$B$120:$B$122,'[3]28'!$B$126:$B$128,'[3]28'!$B$132:$B$134,'[3]28'!$B$141:$B$143,'[3]28'!$B$146:$B$148,'[3]28'!$B$152:$B$154,'[3]28'!$B$158:$B$160</definedName>
    <definedName name="P3_T28_Protection">'[3]28'!$B$172:$B$174,'[3]28'!$B$178:$B$180,'[3]28'!$B$184:$B$186,'[3]28'!$B$193:$B$195,'[3]28'!$B$198:$B$200,'[3]28'!$B$204:$B$206,'[3]28'!$B$210:$B$212</definedName>
    <definedName name="P4_SCOPE_F1_PRT" hidden="1">'[4]Ф-1 (для АО-энерго)'!$C$13:$E$13,'[4]Ф-1 (для АО-энерго)'!$A$14:$E$14,'[4]Ф-1 (для АО-энерго)'!$C$23:$C$50,'[4]Ф-1 (для АО-энерго)'!$C$54:$C$95</definedName>
    <definedName name="P4_SCOPE_PER_PRT" hidden="1">[4]перекрестка!$F$45:$H$49,[4]перекрестка!$J$45:$K$49,[4]перекрестка!$N$45:$N$49,[4]перекрестка!$F$53:$G$64,[4]перекрестка!$H$54:$H$58</definedName>
    <definedName name="P4_T1_Protect" hidden="1">[5]перекрестка!$J$127,[5]перекрестка!$J$128:$K$132,[5]перекрестка!$J$133,[5]перекрестка!$J$134:$K$138,[5]перекрестка!$N$11:$N$22,[5]перекрестка!$N$24:$N$28</definedName>
    <definedName name="P4_T17_Protection">'[3]29'!$I$29:$J$33,'[3]29'!$I$27:$J$27,'[3]29'!$I$21:$J$25,'[3]29'!$I$19:$J$19,'[3]29'!$I$12:$J$16,'[3]29'!$I$10:$J$10,'[3]29'!$L$10:$M$10,'[3]29'!$L$12:$M$16</definedName>
    <definedName name="P4_T28?axis?R?ПЭ">'[3]28'!$D$167:$I$169,'[3]28'!$D$172:$I$174,'[3]28'!$D$178:$I$180,'[3]28'!$D$184:$I$186,'[3]28'!$D$193:$I$195,'[3]28'!$D$198:$I$200,'[3]28'!$D$204:$I$206</definedName>
    <definedName name="P4_T28?axis?R?ПЭ?">'[3]28'!$B$167:$B$169,'[3]28'!$B$172:$B$174,'[3]28'!$B$178:$B$180,'[3]28'!$B$184:$B$186,'[3]28'!$B$193:$B$195,'[3]28'!$B$198:$B$200,'[3]28'!$B$204:$B$206</definedName>
    <definedName name="P4_T28_Protection">'[3]28'!$B$219:$B$221,'[3]28'!$B$224:$B$226,'[3]28'!$B$230:$B$232,'[3]28'!$B$236:$B$238,'[3]28'!$B$245:$B$247,'[3]28'!$B$250:$B$252,'[3]28'!$B$256:$B$258</definedName>
    <definedName name="P5_SCOPE_PER_PRT" hidden="1">[4]перекрестка!$H$60:$H$64,[4]перекрестка!$J$53:$J$64,[4]перекрестка!$K$54:$K$58,[4]перекрестка!$K$60:$K$64,[4]перекрестка!$N$53:$N$64</definedName>
    <definedName name="P5_T1_Protect" hidden="1">[5]перекрестка!$N$30:$N$34,[5]перекрестка!$N$36:$N$40,[5]перекрестка!$N$42:$N$46,[5]перекрестка!$N$49:$N$60,[5]перекрестка!$N$62:$N$66</definedName>
    <definedName name="P5_T17_Protection">'[3]29'!$L$19:$M$19,'[3]29'!$L$21:$M$27,'[3]29'!$L$29:$M$33,'[3]29'!$L$36:$M$36,'[3]29'!$L$38:$M$42,'[3]29'!$L$45:$M$45,'[3]29'!$O$10:$P$10,'[3]29'!$O$12:$P$16</definedName>
    <definedName name="P5_T28?axis?R?ПЭ">'[3]28'!$D$210:$I$212,'[3]28'!$D$219:$I$221,'[3]28'!$D$224:$I$226,'[3]28'!$D$230:$I$232,'[3]28'!$D$236:$I$238,'[3]28'!$D$245:$I$247,'[3]28'!$D$250:$I$252</definedName>
    <definedName name="P5_T28?axis?R?ПЭ?">'[3]28'!$B$210:$B$212,'[3]28'!$B$219:$B$221,'[3]28'!$B$224:$B$226,'[3]28'!$B$230:$B$232,'[3]28'!$B$236:$B$238,'[3]28'!$B$245:$B$247,'[3]28'!$B$250:$B$252</definedName>
    <definedName name="P5_T28_Protection">'[3]28'!$B$262:$B$264,'[3]28'!$B$271:$B$273,'[3]28'!$B$276:$B$278,'[3]28'!$B$282:$B$284,'[3]28'!$B$288:$B$291,'[3]28'!$B$11:$B$13,'[3]28'!$B$16:$B$18,'[3]28'!$B$22:$B$24</definedName>
    <definedName name="P6_SCOPE_PER_PRT" hidden="1">[4]перекрестка!$F$66:$H$70,[4]перекрестка!$J$66:$K$70,[4]перекрестка!$N$66:$N$70,[4]перекрестка!$F$72:$H$76,[4]перекрестка!$J$72:$K$76</definedName>
    <definedName name="P6_T1_Protect" hidden="1">[5]перекрестка!$N$68:$N$72,[5]перекрестка!$N$74:$N$78,[5]перекрестка!$N$80:$N$84,[5]перекрестка!$N$89:$N$100,[5]перекрестка!$N$102:$N$106</definedName>
    <definedName name="P6_T17_Protection">'[3]29'!$O$19:$P$19,'[3]29'!$O$21:$P$25,'[3]29'!$O$27:$P$27,'[3]29'!$O$29:$P$33,'[3]29'!$O$36:$P$36,'[3]29'!$O$38:$P$42,'[3]29'!$O$45:$P$45,P1_T17_Protection</definedName>
    <definedName name="P6_T28?axis?R?ПЭ">'[3]28'!$D$256:$I$258,'[3]28'!$D$262:$I$264,'[3]28'!$D$271:$I$273,'[3]28'!$D$276:$I$278,'[3]28'!$D$282:$I$284,'[3]28'!$D$288:$I$291,'[3]28'!$D$11:$I$13,P1_T28?axis?R?ПЭ</definedName>
    <definedName name="P6_T28?axis?R?ПЭ?">'[3]28'!$B$256:$B$258,'[3]28'!$B$262:$B$264,'[3]28'!$B$271:$B$273,'[3]28'!$B$276:$B$278,'[3]28'!$B$282:$B$284,'[3]28'!$B$288:$B$291,'[3]28'!$B$11:$B$13,P1_T28?axis?R?ПЭ?</definedName>
    <definedName name="P6_T28_Protection">'[3]28'!$B$28:$B$30,'[3]28'!$B$37:$B$39,'[3]28'!$B$42:$B$44,'[3]28'!$B$48:$B$50,'[3]28'!$B$54:$B$56,'[3]28'!$B$63:$B$65,'[3]28'!$G$210:$H$212,'[3]28'!$D$11:$E$13</definedName>
    <definedName name="P7_SCOPE_PER_PRT" hidden="1">[4]перекрестка!$N$72:$N$76,[4]перекрестка!$F$78:$H$82,[4]перекрестка!$J$78:$K$82,[4]перекрестка!$N$78:$N$82,[4]перекрестка!$F$84:$H$88</definedName>
    <definedName name="P7_T1_Protect" hidden="1">[5]перекрестка!$N$108:$N$112,[5]перекрестка!$N$114:$N$118,[5]перекрестка!$N$120:$N$124,[5]перекрестка!$N$127:$N$138,[5]перекрестка!$N$140:$N$144</definedName>
    <definedName name="P7_T28_Protection">'[3]28'!$G$11:$H$13,'[3]28'!$D$16:$E$18,'[3]28'!$G$16:$H$18,'[3]28'!$D$22:$E$24,'[3]28'!$G$22:$H$24,'[3]28'!$D$28:$E$30,'[3]28'!$G$28:$H$30,'[3]28'!$D$37:$E$39</definedName>
    <definedName name="P8_SCOPE_PER_PRT" hidden="1">[4]перекрестка!$J$84:$K$88,[4]перекрестка!$N$84:$N$88,[4]перекрестка!$F$14:$G$25,P1_SCOPE_PER_PRT,P2_SCOPE_PER_PRT,P3_SCOPE_PER_PRT,P4_SCOPE_PER_PRT</definedName>
    <definedName name="P8_T1_Protect" hidden="1">[5]перекрестка!$N$146:$N$150,[5]перекрестка!$N$152:$N$156,[5]перекрестка!$N$158:$N$162,[5]перекрестка!$F$11:$G$11,[5]перекрестка!$F$12:$H$16</definedName>
    <definedName name="P8_T28_Protection">'[3]28'!$G$37:$H$39,'[3]28'!$D$42:$E$44,'[3]28'!$G$42:$H$44,'[3]28'!$D$48:$E$50,'[3]28'!$G$48:$H$50,'[3]28'!$D$54:$E$56,'[3]28'!$G$54:$H$56,'[3]28'!$D$89:$E$91</definedName>
    <definedName name="P9_T1_Protect" hidden="1">[5]перекрестка!$F$17:$G$17,[5]перекрестка!$F$18:$H$22,[5]перекрестка!$F$24:$H$28,[5]перекрестка!$F$30:$H$34,[5]перекрестка!$F$36:$H$40</definedName>
    <definedName name="P9_T28_Protection">'[3]28'!$G$89:$H$91,'[3]28'!$G$94:$H$96,'[3]28'!$D$94:$E$96,'[3]28'!$D$100:$E$102,'[3]28'!$G$100:$H$102,'[3]28'!$D$106:$E$108,'[3]28'!$G$106:$H$108,'[3]28'!$D$167:$E$169</definedName>
    <definedName name="REGION">[6]TECHSHEET!$A$1:$A$84</definedName>
    <definedName name="region_name">[7]Титульный!$F$7</definedName>
    <definedName name="REGIONS">[4]TEHSHEET!$C$6:$C$93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ENARIOS">[4]TEHSHEET!$K$6:$K$8</definedName>
    <definedName name="SCOPE_16_PRT">P1_SCOPE_16_PRT,P2_SCOPE_16_PRT</definedName>
    <definedName name="SCOPE_17.1_PRT">'[4]17.1'!$D$14:$F$17,'[4]17.1'!$D$19:$F$22,'[4]17.1'!$I$9:$I$12,'[4]17.1'!$I$14:$I$17,'[4]17.1'!$I$19:$I$22,'[4]17.1'!$D$9:$F$12</definedName>
    <definedName name="SCOPE_17_PRT">'[4]17'!$J$39:$M$41,'[4]17'!$E$43:$H$51,'[4]17'!$J$43:$M$51,'[4]17'!$E$54:$H$56,'[4]17'!$E$58:$H$66,'[4]17'!$E$69:$M$81,'[4]17'!$E$9:$H$11,P1_SCOPE_17_PRT</definedName>
    <definedName name="SCOPE_24_LD">'[4]24'!$E$8:$J$47,'[4]24'!$E$49:$J$66</definedName>
    <definedName name="SCOPE_24_PRT">'[4]24'!$E$41:$I$41,'[4]24'!$E$34:$I$34,'[4]24'!$E$36:$I$36,'[4]24'!$E$43:$I$43</definedName>
    <definedName name="SCOPE_25_PRT">'[4]25'!$E$20:$I$20,'[4]25'!$E$34:$I$34,'[4]25'!$E$41:$I$41,'[4]25'!$E$8:$I$10</definedName>
    <definedName name="SCOPE_4_PRT">'[4]4'!$Z$27:$AC$31,'[4]4'!$F$14:$I$20,P1_SCOPE_4_PRT,P2_SCOPE_4_PRT</definedName>
    <definedName name="SCOPE_5_PRT">'[4]5'!$Z$27:$AC$31,'[4]5'!$F$14:$I$21,P1_SCOPE_5_PRT,P2_SCOPE_5_PRT</definedName>
    <definedName name="SCOPE_F1_PRT">'[4]Ф-1 (для АО-энерго)'!$D$86:$E$95,P1_SCOPE_F1_PRT,P2_SCOPE_F1_PRT,P3_SCOPE_F1_PRT,P4_SCOPE_F1_PRT</definedName>
    <definedName name="SCOPE_F2_PRT">'[4]Ф-2 (для АО-энерго)'!$C$5:$D$5,'[4]Ф-2 (для АО-энерго)'!$C$52:$C$57,'[4]Ф-2 (для АО-энерго)'!$D$57:$G$57,P1_SCOPE_F2_PRT,P2_SCOPE_F2_PRT</definedName>
    <definedName name="SCOPE_PER_PRT">P5_SCOPE_PER_PRT,P6_SCOPE_PER_PRT,P7_SCOPE_PER_PRT,P8_SCOPE_PER_PRT</definedName>
    <definedName name="SCOPE_SPR_PRT">[4]Справочники!$D$21:$J$22,[4]Справочники!$E$13:$I$14,[4]Справочники!$F$27:$H$28</definedName>
    <definedName name="SCOPE_SV_LD1">#REF!,#REF!,#REF!,#REF!,#REF!,P1_SCOPE_SV_LD1</definedName>
    <definedName name="SCOPE_SV_LD2">#REF!</definedName>
    <definedName name="SCOPE_SV_PRT">P1_SCOPE_SV_PRT,P2_SCOPE_SV_PRT,P3_SCOPE_SV_PRT</definedName>
    <definedName name="Sheet2?prefix?">"H"</definedName>
    <definedName name="T1_Protect">P15_T1_Protect,P16_T1_Protect,P17_T1_Protect,P18_T1_Protect,P19_T1_Protect</definedName>
    <definedName name="T11?Data">#N/A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'[5]15'!$E$25:$I$29,'[5]15'!$E$31:$I$34,'[5]15'!$E$36:$I$39,'[5]15'!$E$43:$I$44,'[5]15'!$E$9:$I$17,'[5]15'!$B$36:$B$39,'[5]15'!$E$19:$I$21</definedName>
    <definedName name="T16?Columns">#REF!</definedName>
    <definedName name="T16?ItemComments">#REF!</definedName>
    <definedName name="T16?Items">#REF!</definedName>
    <definedName name="T16?Scope">#REF!</definedName>
    <definedName name="T16?Units">#REF!</definedName>
    <definedName name="T16_Protect">#REF!,#REF!,P1_T16_Protect</definedName>
    <definedName name="T17.1_Protect">'[5]17.1'!$D$14:$F$17,'[5]17.1'!$D$19:$F$22,'[5]17.1'!$I$9:$I$12,'[5]17.1'!$I$14:$I$17,'[5]17.1'!$I$19:$I$22,'[5]17.1'!$D$9:$F$12</definedName>
    <definedName name="T17?L7">'[3]29'!$L$60,'[3]29'!$O$60,'[3]29'!$F$60,'[3]29'!$I$60</definedName>
    <definedName name="T17?unit?ГКАЛЧ">'[3]29'!$M$26:$M$33,'[3]29'!$P$26:$P$33,'[3]29'!$G$52:$G$59,'[3]29'!$J$52:$J$59,'[3]29'!$M$52:$M$59,'[3]29'!$P$52:$P$59,'[3]29'!$G$26:$G$33,'[3]29'!$J$26:$J$33</definedName>
    <definedName name="T17?unit?РУБ.ГКАЛ">'[3]29'!$O$18:$O$25,P1_T17?unit?РУБ.ГКАЛ,P2_T17?unit?РУБ.ГКАЛ</definedName>
    <definedName name="T17?unit?ТГКАЛ">'[3]29'!$P$18:$P$25,P1_T17?unit?ТГКАЛ,P2_T17?unit?ТГКАЛ</definedName>
    <definedName name="T17?unit?ТРУБ.ГКАЛЧ.МЕС">'[3]29'!$L$26:$L$33,'[3]29'!$O$26:$O$33,'[3]29'!$F$52:$F$59,'[3]29'!$I$52:$I$59,'[3]29'!$L$52:$L$59,'[3]29'!$O$52:$O$59,'[3]29'!$F$26:$F$33,'[3]29'!$I$26:$I$33</definedName>
    <definedName name="T17_Protect">'[5]21.3'!$E$54:$I$57,'[5]21.3'!$E$10:$I$10,P1_T17_Protect</definedName>
    <definedName name="T17_Protection">P2_T17_Protection,P3_T17_Protection,P4_T17_Protection,P5_T17_Protection,P6_T17_Protection</definedName>
    <definedName name="T18.1?Data">P1_T18.1?Data,P2_T18.1?Data</definedName>
    <definedName name="T18.2?item_ext?СБЫТ">'[5]18.2'!#REF!,'[5]18.2'!#REF!</definedName>
    <definedName name="T18.2?ВРАС">'[5]18.2'!$B$34:$B$36,'[5]18.2'!$B$28:$B$30</definedName>
    <definedName name="T18.2_Protect">'[5]18.2'!$F$56:$J$57,'[5]18.2'!$F$60:$J$60,'[5]18.2'!$F$62:$J$65,'[5]18.2'!$F$6:$J$8,P1_T18.2_Protect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19?Data">'[3]19'!$J$8:$M$16,'[3]19'!$C$8:$H$16</definedName>
    <definedName name="T19_Protection">'[3]19'!$E$13:$H$13,'[3]19'!$E$15:$H$15,'[3]19'!$J$8:$M$11,'[3]19'!$J$13:$M$13,'[3]19'!$J$15:$M$15,'[3]19'!$E$4:$H$4,'[3]19'!$J$4:$M$4,'[3]19'!$E$8:$H$11</definedName>
    <definedName name="T2.1?Data">#N/A</definedName>
    <definedName name="T2.3_Protect">'[5]2.3'!$F$30:$G$34,'[5]2.3'!$H$24:$K$28</definedName>
    <definedName name="T20?unit?МКВТЧ">'[3]20'!$C$13:$M$13,'[3]20'!$C$15:$M$19,'[3]20'!$C$8:$M$11</definedName>
    <definedName name="T20_Protect">'[5]20'!$E$13:$I$20,'[5]20'!$E$9:$I$10</definedName>
    <definedName name="T20_Protection">'[3]20'!$E$8:$H$11,P1_T20_Protection</definedName>
    <definedName name="T21.2.1?Data">P1_T21.2.1?Data,P2_T21.2.1?Data</definedName>
    <definedName name="T21.2.2?Data">P1_T21.2.2?Data,P2_T21.2.2?Data</definedName>
    <definedName name="T21.3?item_ext?СБЫТ">'[5]21.3'!#REF!,'[5]21.3'!#REF!</definedName>
    <definedName name="T21.3?ВРАС">'[5]21.3'!$B$28:$B$30,'[5]21.3'!$B$48:$B$50</definedName>
    <definedName name="T21.3_Protect">'[5]21.3'!$E$19:$I$22,'[5]21.3'!$E$24:$I$25,'[5]21.3'!$B$28:$I$30,'[5]21.3'!$E$32:$I$32,'[5]21.3'!$E$35:$I$45,'[5]21.3'!$B$48:$I$50,'[5]21.3'!$E$13:$I$17</definedName>
    <definedName name="T21.4?Data">P1_T21.4?Data,P2_T21.4?Data</definedName>
    <definedName name="T21?axis?R?ПЭ">'[3]21'!$D$14:$S$16,'[3]21'!$D$26:$S$28,'[3]21'!$D$20:$S$22</definedName>
    <definedName name="T21?axis?R?ПЭ?">'[3]21'!$B$14:$B$16,'[3]21'!$B$26:$B$28,'[3]21'!$B$20:$B$22</definedName>
    <definedName name="T21?Data">'[3]21'!$D$14:$S$16,'[3]21'!$D$18:$S$18,'[3]21'!$D$20:$S$22,'[3]21'!$D$24:$S$24,'[3]21'!$D$26:$S$28,'[3]21'!$D$31:$S$33,'[3]21'!$D$11:$S$12</definedName>
    <definedName name="T21?L1">'[3]21'!$D$11:$S$12,'[3]21'!$D$14:$S$16,'[3]21'!$D$18:$S$18,'[3]21'!$D$20:$S$22,'[3]21'!$D$26:$S$28,'[3]21'!$D$24:$S$24</definedName>
    <definedName name="T21_Protection">P2_T21_Protection,P3_T21_Protection</definedName>
    <definedName name="T22?item_ext?ВСЕГО">'[3]22'!$E$8:$F$31,'[3]22'!$I$8:$J$31</definedName>
    <definedName name="T22?item_ext?ЭС">'[3]22'!$K$8:$L$31,'[3]22'!$G$8:$H$31</definedName>
    <definedName name="T22?L1">'[3]22'!$G$8:$G$31,'[3]22'!$I$8:$I$31,'[3]22'!$K$8:$K$31,'[3]22'!$E$8:$E$31</definedName>
    <definedName name="T22?L2">'[3]22'!$H$8:$H$31,'[3]22'!$J$8:$J$31,'[3]22'!$L$8:$L$31,'[3]22'!$F$8:$F$31</definedName>
    <definedName name="T22?unit?ГКАЛ.Ч">'[3]22'!$G$8:$G$31,'[3]22'!$I$8:$I$31,'[3]22'!$K$8:$K$31,'[3]22'!$E$8:$E$31</definedName>
    <definedName name="T22?unit?ТГКАЛ">'[3]22'!$H$8:$H$31,'[3]22'!$J$8:$J$31,'[3]22'!$L$8:$L$31,'[3]22'!$F$8:$F$31</definedName>
    <definedName name="T22_Protection">'[3]22'!$E$19:$L$23,'[3]22'!$E$25:$L$25,'[3]22'!$E$27:$L$31,'[3]22'!$E$17:$L$17</definedName>
    <definedName name="T23?axis?R?ВТОП">'[3]23'!$E$8:$P$30,'[3]23'!$E$36:$P$58</definedName>
    <definedName name="T23?axis?R?ВТОП?">'[3]23'!$C$8:$C$30,'[3]23'!$C$36:$C$58</definedName>
    <definedName name="T23?axis?R?ПЭ">'[3]23'!$E$8:$P$30,'[3]23'!$E$36:$P$58</definedName>
    <definedName name="T23?axis?R?ПЭ?">'[3]23'!$B$8:$B$30,'[3]23'!$B$36:$B$58</definedName>
    <definedName name="T23?axis?R?СЦТ">'[3]23'!$E$32:$P$34,'[3]23'!$E$60:$P$62</definedName>
    <definedName name="T23?axis?R?СЦТ?">'[3]23'!$A$60:$A$62,'[3]23'!$A$32:$A$34</definedName>
    <definedName name="T23?Data">'[3]23'!$E$37:$P$63,'[3]23'!$E$9:$P$35</definedName>
    <definedName name="T23?item_ext?ВСЕГО">'[3]23'!$A$55:$P$58,'[3]23'!$A$27:$P$30</definedName>
    <definedName name="T23?item_ext?ИТОГО">'[3]23'!$A$59:$P$59,'[3]23'!$A$31:$P$31</definedName>
    <definedName name="T23?item_ext?СЦТ">'[3]23'!$A$60:$P$62,'[3]23'!$A$32:$P$34</definedName>
    <definedName name="T23_Protection">'[3]23'!$A$60:$A$62,'[3]23'!$F$60:$J$62,'[3]23'!$O$60:$P$62,'[3]23'!$A$9:$A$25,P1_T23_Protection</definedName>
    <definedName name="T24_Protection">'[3]24'!$E$24:$H$37,'[3]24'!$B$35:$B$37,'[3]24'!$E$41:$H$42,'[3]24'!$J$8:$M$21,'[3]24'!$J$24:$M$37,'[3]24'!$J$41:$M$42,'[3]24'!$E$8:$H$21</definedName>
    <definedName name="T25_protection">P1_T25_protection,P2_T25_protection</definedName>
    <definedName name="T26?axis?R?ВРАС">'[3]26'!$C$34:$N$36,'[3]26'!$C$22:$N$24</definedName>
    <definedName name="T26?axis?R?ВРАС?">'[3]26'!$B$34:$B$36,'[3]26'!$B$22:$B$24</definedName>
    <definedName name="T26?L1">'[3]26'!$F$8:$N$8,'[3]26'!$C$8:$D$8</definedName>
    <definedName name="T26?L1.1">'[3]26'!$F$10:$N$10,'[3]26'!$C$10:$D$10</definedName>
    <definedName name="T26?L2">'[3]26'!$F$11:$N$11,'[3]26'!$C$11:$D$11</definedName>
    <definedName name="T26?L2.1">'[3]26'!$F$13:$N$13,'[3]26'!$C$13:$D$13</definedName>
    <definedName name="T26?L3">'[3]26'!$F$14:$N$14,'[3]26'!$C$14:$D$14</definedName>
    <definedName name="T26?L4">'[3]26'!$F$15:$N$15,'[3]26'!$C$15:$D$15</definedName>
    <definedName name="T26?L5">'[3]26'!$F$16:$N$16,'[3]26'!$C$16:$D$16</definedName>
    <definedName name="T26?L5.1">'[3]26'!$F$18:$N$18,'[3]26'!$C$18:$D$18</definedName>
    <definedName name="T26?L5.2">'[3]26'!$F$19:$N$19,'[3]26'!$C$19:$D$19</definedName>
    <definedName name="T26?L5.3">'[3]26'!$F$20:$N$20,'[3]26'!$C$20:$D$20</definedName>
    <definedName name="T26?L5.3.x">'[3]26'!$F$22:$N$24,'[3]26'!$C$22:$D$24</definedName>
    <definedName name="T26?L6">'[3]26'!$F$26:$N$26,'[3]26'!$C$26:$D$26</definedName>
    <definedName name="T26?L7">'[3]26'!$F$27:$N$27,'[3]26'!$C$27:$D$27</definedName>
    <definedName name="T26?L7.1">'[3]26'!$F$29:$N$29,'[3]26'!$C$29:$D$29</definedName>
    <definedName name="T26?L7.2">'[3]26'!$F$30:$N$30,'[3]26'!$C$30:$D$30</definedName>
    <definedName name="T26?L7.3">'[3]26'!$F$31:$N$31,'[3]26'!$C$31:$D$31</definedName>
    <definedName name="T26?L7.4">'[3]26'!$F$32:$N$32,'[3]26'!$C$32:$D$32</definedName>
    <definedName name="T26?L7.4.x">'[3]26'!$F$34:$N$36,'[3]26'!$C$34:$D$36</definedName>
    <definedName name="T26?L8">'[3]26'!$F$38:$N$38,'[3]26'!$C$38:$D$38</definedName>
    <definedName name="T26_Protection">'[3]26'!$K$34:$N$36,'[3]26'!$B$22:$B$24,P1_T26_Protection,P2_T26_Protection</definedName>
    <definedName name="T27?axis?R?ВРАС">'[3]27'!$C$34:$S$36,'[3]27'!$C$22:$S$24</definedName>
    <definedName name="T27?axis?R?ВРАС?">'[3]27'!$B$34:$B$36,'[3]27'!$B$22:$B$24</definedName>
    <definedName name="T27?L1.1">'[3]27'!$F$10:$S$10,'[3]27'!$C$10:$D$10</definedName>
    <definedName name="T27?L2.1">'[3]27'!$F$13:$S$13,'[3]27'!$C$13:$D$13</definedName>
    <definedName name="T27?L5.3">'[3]27'!$F$20:$S$20,'[3]27'!$C$20:$D$20</definedName>
    <definedName name="T27?L5.3.x">'[3]27'!$F$22:$S$24,'[3]27'!$C$22:$D$24</definedName>
    <definedName name="T27?L7">'[3]27'!$F$27:$S$27,'[3]27'!$C$27:$D$27</definedName>
    <definedName name="T27?L7.1">'[3]27'!$F$29:$S$29,'[3]27'!$C$29:$D$29</definedName>
    <definedName name="T27?L7.2">'[3]27'!$F$30:$S$30,'[3]27'!$C$30:$D$30</definedName>
    <definedName name="T27?L7.3">'[3]27'!$F$31:$S$31,'[3]27'!$C$31:$D$31</definedName>
    <definedName name="T27?L7.4">'[3]27'!$F$32:$S$32,'[3]27'!$C$32:$D$32</definedName>
    <definedName name="T27?L7.4.x">'[3]27'!$F$34:$S$36,'[3]27'!$C$34:$D$36</definedName>
    <definedName name="T27?L8">'[3]27'!$F$38:$S$38,'[3]27'!$C$38:$D$38</definedName>
    <definedName name="T27_Protect">'[5]27'!$E$12:$E$13,'[5]27'!$K$4:$AH$4,'[5]27'!$AK$12:$AK$13</definedName>
    <definedName name="T27_Protection">'[3]27'!$P$34:$S$36,'[3]27'!$B$22:$B$24,P1_T27_Protection,P2_T27_Protection,P3_T27_Protection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Data">'[3]28'!$D$190:$E$213,'[3]28'!$G$164:$H$187,'[3]28'!$D$164:$E$187,'[3]28'!$D$138:$I$161,'[3]28'!$D$8:$I$109,'[3]28'!$D$112:$I$135,P1_T28?Data</definedName>
    <definedName name="T28?item_ext?ВСЕГО">'[3]28'!$I$8:$I$292,'[3]28'!$F$8:$F$292</definedName>
    <definedName name="T28?item_ext?ТЭ">'[3]28'!$E$8:$E$292,'[3]28'!$H$8:$H$292</definedName>
    <definedName name="T28?item_ext?ЭЭ">'[3]28'!$D$8:$D$292,'[3]28'!$G$8:$G$292</definedName>
    <definedName name="T28?L1.1.x">'[3]28'!$D$16:$I$18,'[3]28'!$D$11:$I$13</definedName>
    <definedName name="T28?L10.1.x">'[3]28'!$D$250:$I$252,'[3]28'!$D$245:$I$247</definedName>
    <definedName name="T28?L11.1.x">'[3]28'!$D$276:$I$278,'[3]28'!$D$271:$I$273</definedName>
    <definedName name="T28?L2.1.x">'[3]28'!$D$42:$I$44,'[3]28'!$D$37:$I$39</definedName>
    <definedName name="T28?L3.1.x">'[3]28'!$D$68:$I$70,'[3]28'!$D$63:$I$65</definedName>
    <definedName name="T28?L4.1.x">'[3]28'!$D$94:$I$96,'[3]28'!$D$89:$I$91</definedName>
    <definedName name="T28?L5.1.x">'[3]28'!$D$120:$I$122,'[3]28'!$D$115:$I$117</definedName>
    <definedName name="T28?L6.1.x">'[3]28'!$D$146:$I$148,'[3]28'!$D$141:$I$143</definedName>
    <definedName name="T28?L7.1.x">'[3]28'!$D$172:$I$174,'[3]28'!$D$167:$I$169</definedName>
    <definedName name="T28?L8.1.x">'[3]28'!$D$198:$I$200,'[3]28'!$D$193:$I$195</definedName>
    <definedName name="T28?L9.1.x">'[3]28'!$D$224:$I$226,'[3]28'!$D$219:$I$221</definedName>
    <definedName name="T28?unit?ГКАЛЧ">'[3]28'!$H$164:$H$187,'[3]28'!$E$164:$E$187</definedName>
    <definedName name="T28?unit?МКВТЧ">'[3]28'!$G$190:$G$213,'[3]28'!$D$190:$D$213</definedName>
    <definedName name="T28?unit?РУБ.ГКАЛ">'[3]28'!$E$216:$E$239,'[3]28'!$E$268:$E$292,'[3]28'!$H$268:$H$292,'[3]28'!$H$216:$H$239</definedName>
    <definedName name="T28?unit?РУБ.ГКАЛЧ.МЕС">'[3]28'!$H$242:$H$265,'[3]28'!$E$242:$E$265</definedName>
    <definedName name="T28?unit?РУБ.ТКВТ.МЕС">'[3]28'!$G$242:$G$265,'[3]28'!$D$242:$D$265</definedName>
    <definedName name="T28?unit?РУБ.ТКВТЧ">'[3]28'!$G$216:$G$239,'[3]28'!$D$268:$D$292,'[3]28'!$G$268:$G$292,'[3]28'!$D$216:$D$239</definedName>
    <definedName name="T28?unit?ТГКАЛ">'[3]28'!$H$190:$H$213,'[3]28'!$E$190:$E$213</definedName>
    <definedName name="T28?unit?ТКВТ">'[3]28'!$G$164:$G$187,'[3]28'!$D$164:$D$187</definedName>
    <definedName name="T28?unit?ТРУБ">'[3]28'!$D$138:$I$161,'[3]28'!$D$8:$I$109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4_Protect">'[5]4'!$AA$24:$AD$28,'[5]4'!$G$11:$J$17,P1_T4_Protect,P2_T4_Protect</definedName>
    <definedName name="T6_Protect">'[5]6'!$B$28:$B$37,'[5]6'!$D$28:$H$37,'[5]6'!$J$28:$N$37,'[5]6'!$D$39:$H$41,'[5]6'!$J$39:$N$41,'[5]6'!$B$46:$B$55,P1_T6_Protect</definedName>
    <definedName name="T7?Data">#N/A</definedName>
    <definedName name="TP2.1_Protect">[5]P2.1!$F$28:$G$37,[5]P2.1!$F$40:$G$43,[5]P2.1!$F$7:$G$26</definedName>
    <definedName name="version">[6]Инструкция!$B$3</definedName>
    <definedName name="БазовыйПериод">[5]Заголовок!$B$15</definedName>
    <definedName name="в23ё">[0]!в23ё</definedName>
    <definedName name="вв">[0]!вв</definedName>
    <definedName name="второй">#REF!</definedName>
    <definedName name="ДиапазонЗащиты">#REF!,#REF!,#REF!,#REF!,[0]!P1_ДиапазонЗащиты,[0]!P2_ДиапазонЗащиты,[0]!P3_ДиапазонЗащиты,[0]!P4_ДиапазонЗащиты</definedName>
    <definedName name="й">[0]!й</definedName>
    <definedName name="йй">[0]!йй</definedName>
    <definedName name="ке">[0]!ке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ым">[0]!мым</definedName>
    <definedName name="_xlnm.Print_Area" localSheetId="1">'2023'!$A$1:$H$99</definedName>
    <definedName name="первый">#REF!</definedName>
    <definedName name="ПериодРегулирования">[5]Заголовок!$B$14</definedName>
    <definedName name="Периоды_18_2">'[5]18.2'!#REF!</definedName>
    <definedName name="ПоследнийГод">[5]Заголовок!$B$16</definedName>
    <definedName name="прил1.2">[0]!прил1.2</definedName>
    <definedName name="Прилож3">[0]!Прилож3</definedName>
    <definedName name="Приложение8">[0]!Приложение8</definedName>
    <definedName name="р">[0]!р</definedName>
    <definedName name="с">[0]!с</definedName>
    <definedName name="сс">[0]!сс</definedName>
    <definedName name="сссс">[0]!сссс</definedName>
    <definedName name="ссы">[0]!ссы</definedName>
    <definedName name="ссы2">[0]!ссы2</definedName>
    <definedName name="тар">[0]!тар</definedName>
    <definedName name="ТАР2">[0]!ТАР2</definedName>
    <definedName name="Тариф3">[0]!Тариф3</definedName>
    <definedName name="третий">#REF!</definedName>
    <definedName name="у">[0]!у</definedName>
    <definedName name="ц">[0]!ц</definedName>
    <definedName name="ц.">[0]!ц.</definedName>
    <definedName name="цу">[0]!цу</definedName>
    <definedName name="четвертый">#REF!</definedName>
    <definedName name="ъ">[0]!ъ</definedName>
    <definedName name="ыв">[0]!ыв</definedName>
    <definedName name="ыыыы">[0]!ыыыы</definedName>
  </definedNames>
  <calcPr calcId="145621"/>
</workbook>
</file>

<file path=xl/calcChain.xml><?xml version="1.0" encoding="utf-8"?>
<calcChain xmlns="http://schemas.openxmlformats.org/spreadsheetml/2006/main">
  <c r="H88" i="2" l="1"/>
  <c r="F93" i="2"/>
  <c r="F92" i="2"/>
  <c r="H92" i="2" s="1"/>
  <c r="F89" i="2"/>
  <c r="H89" i="2" s="1"/>
  <c r="H93" i="2"/>
  <c r="F87" i="2"/>
  <c r="F86" i="2"/>
  <c r="H85" i="2"/>
  <c r="H84" i="2"/>
  <c r="H83" i="2"/>
  <c r="H82" i="2"/>
  <c r="H81" i="2"/>
  <c r="H86" i="2" s="1"/>
  <c r="F80" i="2"/>
  <c r="F79" i="2"/>
  <c r="H78" i="2"/>
  <c r="H77" i="2"/>
  <c r="F77" i="2"/>
  <c r="H76" i="2"/>
  <c r="H80" i="2" s="1"/>
  <c r="F76" i="2"/>
  <c r="H75" i="2"/>
  <c r="H74" i="2"/>
  <c r="H79" i="2" s="1"/>
  <c r="F72" i="2"/>
  <c r="H71" i="2"/>
  <c r="F70" i="2"/>
  <c r="H70" i="2" s="1"/>
  <c r="F69" i="2"/>
  <c r="F73" i="2" s="1"/>
  <c r="H68" i="2"/>
  <c r="H67" i="2"/>
  <c r="H72" i="2" s="1"/>
  <c r="F66" i="2"/>
  <c r="F65" i="2"/>
  <c r="H64" i="2"/>
  <c r="H63" i="2"/>
  <c r="F63" i="2"/>
  <c r="H62" i="2"/>
  <c r="H66" i="2" s="1"/>
  <c r="F62" i="2"/>
  <c r="H61" i="2"/>
  <c r="H60" i="2"/>
  <c r="H65" i="2" s="1"/>
  <c r="F58" i="2"/>
  <c r="H57" i="2"/>
  <c r="F56" i="2"/>
  <c r="H56" i="2" s="1"/>
  <c r="F55" i="2"/>
  <c r="H55" i="2" s="1"/>
  <c r="H54" i="2"/>
  <c r="H53" i="2"/>
  <c r="H58" i="2" s="1"/>
  <c r="F52" i="2"/>
  <c r="F51" i="2"/>
  <c r="H50" i="2"/>
  <c r="H49" i="2"/>
  <c r="H48" i="2"/>
  <c r="H52" i="2" s="1"/>
  <c r="H47" i="2"/>
  <c r="H46" i="2"/>
  <c r="H51" i="2" s="1"/>
  <c r="F44" i="2"/>
  <c r="H43" i="2"/>
  <c r="F42" i="2"/>
  <c r="H42" i="2" s="1"/>
  <c r="F41" i="2"/>
  <c r="F45" i="2" s="1"/>
  <c r="H40" i="2"/>
  <c r="H39" i="2"/>
  <c r="H44" i="2" s="1"/>
  <c r="F38" i="2"/>
  <c r="F37" i="2"/>
  <c r="H36" i="2"/>
  <c r="H35" i="2"/>
  <c r="F35" i="2"/>
  <c r="H34" i="2"/>
  <c r="H38" i="2" s="1"/>
  <c r="F34" i="2"/>
  <c r="H33" i="2"/>
  <c r="H32" i="2"/>
  <c r="H37" i="2" s="1"/>
  <c r="F30" i="2"/>
  <c r="H29" i="2"/>
  <c r="F28" i="2"/>
  <c r="H28" i="2" s="1"/>
  <c r="F27" i="2"/>
  <c r="H27" i="2" s="1"/>
  <c r="H31" i="2" s="1"/>
  <c r="H26" i="2"/>
  <c r="H25" i="2"/>
  <c r="H30" i="2" s="1"/>
  <c r="F24" i="2"/>
  <c r="F23" i="2"/>
  <c r="H22" i="2"/>
  <c r="H21" i="2"/>
  <c r="F21" i="2"/>
  <c r="H20" i="2"/>
  <c r="H24" i="2" s="1"/>
  <c r="F20" i="2"/>
  <c r="H19" i="2"/>
  <c r="H18" i="2"/>
  <c r="H23" i="2" s="1"/>
  <c r="F16" i="2"/>
  <c r="H15" i="2"/>
  <c r="F14" i="2"/>
  <c r="H14" i="2" s="1"/>
  <c r="F13" i="2"/>
  <c r="F17" i="2" s="1"/>
  <c r="H12" i="2"/>
  <c r="H11" i="2"/>
  <c r="H16" i="2" s="1"/>
  <c r="F10" i="2"/>
  <c r="F9" i="2"/>
  <c r="H8" i="2"/>
  <c r="H7" i="2"/>
  <c r="F7" i="2"/>
  <c r="H6" i="2"/>
  <c r="H10" i="2" s="1"/>
  <c r="F6" i="2"/>
  <c r="H5" i="2"/>
  <c r="H4" i="2"/>
  <c r="H9" i="2" s="1"/>
  <c r="H87" i="2" l="1"/>
  <c r="H59" i="2"/>
  <c r="F90" i="2"/>
  <c r="H13" i="2"/>
  <c r="H17" i="2" s="1"/>
  <c r="F31" i="2"/>
  <c r="H41" i="2"/>
  <c r="H45" i="2" s="1"/>
  <c r="F59" i="2"/>
  <c r="H69" i="2"/>
  <c r="H73" i="2" s="1"/>
  <c r="F91" i="2"/>
  <c r="H91" i="2" s="1"/>
  <c r="F80" i="10"/>
  <c r="H79" i="10"/>
  <c r="F79" i="10"/>
  <c r="F78" i="10"/>
  <c r="F77" i="10"/>
  <c r="F81" i="10" s="1"/>
  <c r="H76" i="10"/>
  <c r="H80" i="10" s="1"/>
  <c r="F75" i="10"/>
  <c r="H74" i="10"/>
  <c r="F74" i="10"/>
  <c r="H73" i="10"/>
  <c r="H72" i="10"/>
  <c r="H71" i="10"/>
  <c r="H75" i="10" s="1"/>
  <c r="H70" i="10"/>
  <c r="F69" i="10"/>
  <c r="H68" i="10"/>
  <c r="F68" i="10"/>
  <c r="H67" i="10"/>
  <c r="H66" i="10"/>
  <c r="H65" i="10"/>
  <c r="H69" i="10" s="1"/>
  <c r="H64" i="10"/>
  <c r="F63" i="10"/>
  <c r="H62" i="10"/>
  <c r="F62" i="10"/>
  <c r="H61" i="10"/>
  <c r="H60" i="10"/>
  <c r="H59" i="10"/>
  <c r="H63" i="10" s="1"/>
  <c r="H58" i="10"/>
  <c r="F57" i="10"/>
  <c r="H56" i="10"/>
  <c r="F56" i="10"/>
  <c r="H55" i="10"/>
  <c r="H54" i="10"/>
  <c r="H53" i="10"/>
  <c r="H57" i="10" s="1"/>
  <c r="H52" i="10"/>
  <c r="F51" i="10"/>
  <c r="H50" i="10"/>
  <c r="F50" i="10"/>
  <c r="H49" i="10"/>
  <c r="H48" i="10"/>
  <c r="H47" i="10"/>
  <c r="H51" i="10" s="1"/>
  <c r="H46" i="10"/>
  <c r="F45" i="10"/>
  <c r="H44" i="10"/>
  <c r="F44" i="10"/>
  <c r="H43" i="10"/>
  <c r="H42" i="10"/>
  <c r="H41" i="10"/>
  <c r="H45" i="10" s="1"/>
  <c r="H40" i="10"/>
  <c r="F39" i="10"/>
  <c r="H38" i="10"/>
  <c r="F38" i="10"/>
  <c r="H37" i="10"/>
  <c r="H36" i="10"/>
  <c r="H35" i="10"/>
  <c r="H39" i="10" s="1"/>
  <c r="H34" i="10"/>
  <c r="F33" i="10"/>
  <c r="H32" i="10"/>
  <c r="F32" i="10"/>
  <c r="H31" i="10"/>
  <c r="H30" i="10"/>
  <c r="H29" i="10"/>
  <c r="H33" i="10" s="1"/>
  <c r="H28" i="10"/>
  <c r="F27" i="10"/>
  <c r="H26" i="10"/>
  <c r="F26" i="10"/>
  <c r="H25" i="10"/>
  <c r="H24" i="10"/>
  <c r="H23" i="10"/>
  <c r="H27" i="10" s="1"/>
  <c r="H22" i="10"/>
  <c r="F21" i="10"/>
  <c r="H20" i="10"/>
  <c r="F20" i="10"/>
  <c r="H19" i="10"/>
  <c r="H18" i="10"/>
  <c r="H17" i="10"/>
  <c r="H21" i="10" s="1"/>
  <c r="H16" i="10"/>
  <c r="F15" i="10"/>
  <c r="H14" i="10"/>
  <c r="F14" i="10"/>
  <c r="H13" i="10"/>
  <c r="H12" i="10"/>
  <c r="H11" i="10"/>
  <c r="H15" i="10" s="1"/>
  <c r="H10" i="10"/>
  <c r="F9" i="10"/>
  <c r="H8" i="10"/>
  <c r="F8" i="10"/>
  <c r="H7" i="10"/>
  <c r="H6" i="10"/>
  <c r="H78" i="10" s="1"/>
  <c r="H5" i="10"/>
  <c r="H9" i="10" s="1"/>
  <c r="H4" i="10"/>
  <c r="F80" i="9"/>
  <c r="H79" i="9"/>
  <c r="F79" i="9"/>
  <c r="F78" i="9"/>
  <c r="F77" i="9"/>
  <c r="F81" i="9" s="1"/>
  <c r="H76" i="9"/>
  <c r="H80" i="9" s="1"/>
  <c r="F75" i="9"/>
  <c r="H74" i="9"/>
  <c r="F74" i="9"/>
  <c r="H73" i="9"/>
  <c r="H72" i="9"/>
  <c r="H71" i="9"/>
  <c r="H75" i="9" s="1"/>
  <c r="H70" i="9"/>
  <c r="F69" i="9"/>
  <c r="H68" i="9"/>
  <c r="F68" i="9"/>
  <c r="H67" i="9"/>
  <c r="H66" i="9"/>
  <c r="H65" i="9"/>
  <c r="H69" i="9" s="1"/>
  <c r="H64" i="9"/>
  <c r="F63" i="9"/>
  <c r="H62" i="9"/>
  <c r="F62" i="9"/>
  <c r="H61" i="9"/>
  <c r="H60" i="9"/>
  <c r="H59" i="9"/>
  <c r="H63" i="9" s="1"/>
  <c r="H58" i="9"/>
  <c r="F57" i="9"/>
  <c r="H56" i="9"/>
  <c r="F56" i="9"/>
  <c r="H55" i="9"/>
  <c r="H54" i="9"/>
  <c r="H53" i="9"/>
  <c r="H57" i="9" s="1"/>
  <c r="H52" i="9"/>
  <c r="F51" i="9"/>
  <c r="H50" i="9"/>
  <c r="F50" i="9"/>
  <c r="H49" i="9"/>
  <c r="H48" i="9"/>
  <c r="H47" i="9"/>
  <c r="H51" i="9" s="1"/>
  <c r="H46" i="9"/>
  <c r="F45" i="9"/>
  <c r="H44" i="9"/>
  <c r="F44" i="9"/>
  <c r="H43" i="9"/>
  <c r="H42" i="9"/>
  <c r="H41" i="9"/>
  <c r="H45" i="9" s="1"/>
  <c r="H40" i="9"/>
  <c r="F39" i="9"/>
  <c r="H38" i="9"/>
  <c r="F38" i="9"/>
  <c r="H37" i="9"/>
  <c r="H36" i="9"/>
  <c r="H35" i="9"/>
  <c r="H39" i="9" s="1"/>
  <c r="H34" i="9"/>
  <c r="F33" i="9"/>
  <c r="H32" i="9"/>
  <c r="F32" i="9"/>
  <c r="H31" i="9"/>
  <c r="H30" i="9"/>
  <c r="H29" i="9"/>
  <c r="H33" i="9" s="1"/>
  <c r="H28" i="9"/>
  <c r="F27" i="9"/>
  <c r="H26" i="9"/>
  <c r="F26" i="9"/>
  <c r="H25" i="9"/>
  <c r="H24" i="9"/>
  <c r="H23" i="9"/>
  <c r="H27" i="9" s="1"/>
  <c r="H22" i="9"/>
  <c r="F21" i="9"/>
  <c r="H20" i="9"/>
  <c r="F20" i="9"/>
  <c r="H19" i="9"/>
  <c r="H18" i="9"/>
  <c r="H17" i="9"/>
  <c r="H21" i="9" s="1"/>
  <c r="H16" i="9"/>
  <c r="F15" i="9"/>
  <c r="H14" i="9"/>
  <c r="F14" i="9"/>
  <c r="H13" i="9"/>
  <c r="H12" i="9"/>
  <c r="H11" i="9"/>
  <c r="H15" i="9" s="1"/>
  <c r="H10" i="9"/>
  <c r="F9" i="9"/>
  <c r="H8" i="9"/>
  <c r="F8" i="9"/>
  <c r="H7" i="9"/>
  <c r="H6" i="9"/>
  <c r="H78" i="9" s="1"/>
  <c r="H5" i="9"/>
  <c r="H9" i="9" s="1"/>
  <c r="H4" i="9"/>
  <c r="F80" i="8"/>
  <c r="H79" i="8"/>
  <c r="F79" i="8"/>
  <c r="F78" i="8"/>
  <c r="H77" i="8"/>
  <c r="F77" i="8"/>
  <c r="F81" i="8" s="1"/>
  <c r="H76" i="8"/>
  <c r="H80" i="8" s="1"/>
  <c r="F75" i="8"/>
  <c r="F74" i="8"/>
  <c r="H73" i="8"/>
  <c r="H72" i="8"/>
  <c r="H71" i="8"/>
  <c r="H75" i="8" s="1"/>
  <c r="H70" i="8"/>
  <c r="H74" i="8" s="1"/>
  <c r="F69" i="8"/>
  <c r="F68" i="8"/>
  <c r="H67" i="8"/>
  <c r="H66" i="8"/>
  <c r="H65" i="8"/>
  <c r="H69" i="8" s="1"/>
  <c r="H64" i="8"/>
  <c r="H68" i="8" s="1"/>
  <c r="F63" i="8"/>
  <c r="F62" i="8"/>
  <c r="H61" i="8"/>
  <c r="H60" i="8"/>
  <c r="H59" i="8"/>
  <c r="H63" i="8" s="1"/>
  <c r="H58" i="8"/>
  <c r="H62" i="8" s="1"/>
  <c r="F57" i="8"/>
  <c r="F56" i="8"/>
  <c r="H55" i="8"/>
  <c r="H54" i="8"/>
  <c r="H53" i="8"/>
  <c r="H57" i="8" s="1"/>
  <c r="H52" i="8"/>
  <c r="H56" i="8" s="1"/>
  <c r="F51" i="8"/>
  <c r="F50" i="8"/>
  <c r="H49" i="8"/>
  <c r="H48" i="8"/>
  <c r="H47" i="8"/>
  <c r="H51" i="8" s="1"/>
  <c r="H46" i="8"/>
  <c r="H50" i="8" s="1"/>
  <c r="F45" i="8"/>
  <c r="F44" i="8"/>
  <c r="H43" i="8"/>
  <c r="H42" i="8"/>
  <c r="H41" i="8"/>
  <c r="H45" i="8" s="1"/>
  <c r="H40" i="8"/>
  <c r="H44" i="8" s="1"/>
  <c r="F39" i="8"/>
  <c r="F38" i="8"/>
  <c r="H37" i="8"/>
  <c r="H36" i="8"/>
  <c r="H35" i="8"/>
  <c r="H39" i="8" s="1"/>
  <c r="H34" i="8"/>
  <c r="H38" i="8" s="1"/>
  <c r="F33" i="8"/>
  <c r="F32" i="8"/>
  <c r="H31" i="8"/>
  <c r="H30" i="8"/>
  <c r="H29" i="8"/>
  <c r="H33" i="8" s="1"/>
  <c r="H28" i="8"/>
  <c r="H32" i="8" s="1"/>
  <c r="F27" i="8"/>
  <c r="F26" i="8"/>
  <c r="H25" i="8"/>
  <c r="H24" i="8"/>
  <c r="H23" i="8"/>
  <c r="H27" i="8" s="1"/>
  <c r="H22" i="8"/>
  <c r="H26" i="8" s="1"/>
  <c r="F21" i="8"/>
  <c r="F20" i="8"/>
  <c r="H19" i="8"/>
  <c r="H18" i="8"/>
  <c r="H17" i="8"/>
  <c r="H21" i="8" s="1"/>
  <c r="H16" i="8"/>
  <c r="H20" i="8" s="1"/>
  <c r="F15" i="8"/>
  <c r="F14" i="8"/>
  <c r="H13" i="8"/>
  <c r="H12" i="8"/>
  <c r="H11" i="8"/>
  <c r="H15" i="8" s="1"/>
  <c r="H10" i="8"/>
  <c r="H14" i="8" s="1"/>
  <c r="F9" i="8"/>
  <c r="F8" i="8"/>
  <c r="H7" i="8"/>
  <c r="H6" i="8"/>
  <c r="H78" i="8" s="1"/>
  <c r="H5" i="8"/>
  <c r="H9" i="8" s="1"/>
  <c r="H4" i="8"/>
  <c r="H8" i="8" s="1"/>
  <c r="F80" i="7"/>
  <c r="H79" i="7"/>
  <c r="F79" i="7"/>
  <c r="F78" i="7"/>
  <c r="H77" i="7"/>
  <c r="F77" i="7"/>
  <c r="F81" i="7" s="1"/>
  <c r="H76" i="7"/>
  <c r="H80" i="7" s="1"/>
  <c r="F75" i="7"/>
  <c r="F74" i="7"/>
  <c r="H73" i="7"/>
  <c r="H72" i="7"/>
  <c r="H71" i="7"/>
  <c r="H75" i="7" s="1"/>
  <c r="H70" i="7"/>
  <c r="H74" i="7" s="1"/>
  <c r="F69" i="7"/>
  <c r="F68" i="7"/>
  <c r="H67" i="7"/>
  <c r="H66" i="7"/>
  <c r="H65" i="7"/>
  <c r="H69" i="7" s="1"/>
  <c r="H64" i="7"/>
  <c r="H68" i="7" s="1"/>
  <c r="F63" i="7"/>
  <c r="F62" i="7"/>
  <c r="H61" i="7"/>
  <c r="H60" i="7"/>
  <c r="H59" i="7"/>
  <c r="H63" i="7" s="1"/>
  <c r="H58" i="7"/>
  <c r="H62" i="7" s="1"/>
  <c r="F57" i="7"/>
  <c r="F56" i="7"/>
  <c r="H55" i="7"/>
  <c r="H54" i="7"/>
  <c r="H53" i="7"/>
  <c r="H57" i="7" s="1"/>
  <c r="H52" i="7"/>
  <c r="H56" i="7" s="1"/>
  <c r="F51" i="7"/>
  <c r="F50" i="7"/>
  <c r="H49" i="7"/>
  <c r="H48" i="7"/>
  <c r="H47" i="7"/>
  <c r="H51" i="7" s="1"/>
  <c r="H46" i="7"/>
  <c r="H50" i="7" s="1"/>
  <c r="F45" i="7"/>
  <c r="F44" i="7"/>
  <c r="H43" i="7"/>
  <c r="H42" i="7"/>
  <c r="H41" i="7"/>
  <c r="H45" i="7" s="1"/>
  <c r="H40" i="7"/>
  <c r="H44" i="7" s="1"/>
  <c r="F39" i="7"/>
  <c r="F38" i="7"/>
  <c r="H37" i="7"/>
  <c r="H36" i="7"/>
  <c r="H35" i="7"/>
  <c r="H39" i="7" s="1"/>
  <c r="H34" i="7"/>
  <c r="H38" i="7" s="1"/>
  <c r="F33" i="7"/>
  <c r="F32" i="7"/>
  <c r="H31" i="7"/>
  <c r="H30" i="7"/>
  <c r="H29" i="7"/>
  <c r="H33" i="7" s="1"/>
  <c r="H28" i="7"/>
  <c r="H32" i="7" s="1"/>
  <c r="F27" i="7"/>
  <c r="F26" i="7"/>
  <c r="H25" i="7"/>
  <c r="H24" i="7"/>
  <c r="H23" i="7"/>
  <c r="H27" i="7" s="1"/>
  <c r="H22" i="7"/>
  <c r="H26" i="7" s="1"/>
  <c r="F21" i="7"/>
  <c r="F20" i="7"/>
  <c r="H19" i="7"/>
  <c r="H18" i="7"/>
  <c r="H17" i="7"/>
  <c r="H21" i="7" s="1"/>
  <c r="H16" i="7"/>
  <c r="H20" i="7" s="1"/>
  <c r="F15" i="7"/>
  <c r="F14" i="7"/>
  <c r="H13" i="7"/>
  <c r="H12" i="7"/>
  <c r="H11" i="7"/>
  <c r="H15" i="7" s="1"/>
  <c r="H10" i="7"/>
  <c r="H14" i="7" s="1"/>
  <c r="F9" i="7"/>
  <c r="F8" i="7"/>
  <c r="H7" i="7"/>
  <c r="H6" i="7"/>
  <c r="H78" i="7" s="1"/>
  <c r="H5" i="7"/>
  <c r="H9" i="7" s="1"/>
  <c r="H4" i="7"/>
  <c r="H8" i="7" s="1"/>
  <c r="F80" i="6"/>
  <c r="F79" i="6"/>
  <c r="F78" i="6"/>
  <c r="F77" i="6"/>
  <c r="F81" i="6" s="1"/>
  <c r="H76" i="6"/>
  <c r="H80" i="6" s="1"/>
  <c r="F75" i="6"/>
  <c r="H74" i="6"/>
  <c r="F74" i="6"/>
  <c r="H73" i="6"/>
  <c r="H75" i="6" s="1"/>
  <c r="H72" i="6"/>
  <c r="H71" i="6"/>
  <c r="H70" i="6"/>
  <c r="F69" i="6"/>
  <c r="H68" i="6"/>
  <c r="F68" i="6"/>
  <c r="H67" i="6"/>
  <c r="H69" i="6" s="1"/>
  <c r="H66" i="6"/>
  <c r="H65" i="6"/>
  <c r="H64" i="6"/>
  <c r="F63" i="6"/>
  <c r="H62" i="6"/>
  <c r="F62" i="6"/>
  <c r="H61" i="6"/>
  <c r="H63" i="6" s="1"/>
  <c r="H60" i="6"/>
  <c r="H59" i="6"/>
  <c r="H58" i="6"/>
  <c r="F57" i="6"/>
  <c r="H56" i="6"/>
  <c r="F56" i="6"/>
  <c r="H55" i="6"/>
  <c r="H57" i="6" s="1"/>
  <c r="H54" i="6"/>
  <c r="H53" i="6"/>
  <c r="H52" i="6"/>
  <c r="H51" i="6"/>
  <c r="F51" i="6"/>
  <c r="H50" i="6"/>
  <c r="F50" i="6"/>
  <c r="H49" i="6"/>
  <c r="H48" i="6"/>
  <c r="H47" i="6"/>
  <c r="H46" i="6"/>
  <c r="F45" i="6"/>
  <c r="H44" i="6"/>
  <c r="F44" i="6"/>
  <c r="H43" i="6"/>
  <c r="H45" i="6" s="1"/>
  <c r="H42" i="6"/>
  <c r="H41" i="6"/>
  <c r="H40" i="6"/>
  <c r="F39" i="6"/>
  <c r="H38" i="6"/>
  <c r="F38" i="6"/>
  <c r="H37" i="6"/>
  <c r="H39" i="6" s="1"/>
  <c r="H36" i="6"/>
  <c r="H35" i="6"/>
  <c r="H34" i="6"/>
  <c r="F33" i="6"/>
  <c r="H32" i="6"/>
  <c r="F32" i="6"/>
  <c r="H31" i="6"/>
  <c r="H33" i="6" s="1"/>
  <c r="H30" i="6"/>
  <c r="H29" i="6"/>
  <c r="H28" i="6"/>
  <c r="F27" i="6"/>
  <c r="H26" i="6"/>
  <c r="F26" i="6"/>
  <c r="H25" i="6"/>
  <c r="H27" i="6" s="1"/>
  <c r="H24" i="6"/>
  <c r="H23" i="6"/>
  <c r="H22" i="6"/>
  <c r="F21" i="6"/>
  <c r="H20" i="6"/>
  <c r="F20" i="6"/>
  <c r="H19" i="6"/>
  <c r="H21" i="6" s="1"/>
  <c r="H18" i="6"/>
  <c r="H17" i="6"/>
  <c r="H16" i="6"/>
  <c r="F15" i="6"/>
  <c r="H14" i="6"/>
  <c r="F14" i="6"/>
  <c r="H13" i="6"/>
  <c r="H15" i="6" s="1"/>
  <c r="H12" i="6"/>
  <c r="H11" i="6"/>
  <c r="H10" i="6"/>
  <c r="F9" i="6"/>
  <c r="H8" i="6"/>
  <c r="F8" i="6"/>
  <c r="H7" i="6"/>
  <c r="H79" i="6" s="1"/>
  <c r="H6" i="6"/>
  <c r="H78" i="6" s="1"/>
  <c r="H5" i="6"/>
  <c r="H77" i="6" s="1"/>
  <c r="H4" i="6"/>
  <c r="F94" i="5"/>
  <c r="H93" i="5"/>
  <c r="F93" i="5"/>
  <c r="H92" i="5"/>
  <c r="F92" i="5"/>
  <c r="H91" i="5"/>
  <c r="F91" i="5"/>
  <c r="H90" i="5"/>
  <c r="H94" i="5" s="1"/>
  <c r="F90" i="5"/>
  <c r="H89" i="5"/>
  <c r="H88" i="5"/>
  <c r="H85" i="5"/>
  <c r="F84" i="5"/>
  <c r="H84" i="5" s="1"/>
  <c r="F83" i="5"/>
  <c r="F87" i="5" s="1"/>
  <c r="H82" i="5"/>
  <c r="H78" i="5"/>
  <c r="F77" i="5"/>
  <c r="H77" i="5" s="1"/>
  <c r="F76" i="5"/>
  <c r="F80" i="5" s="1"/>
  <c r="H75" i="5"/>
  <c r="H71" i="5"/>
  <c r="F70" i="5"/>
  <c r="H70" i="5" s="1"/>
  <c r="F69" i="5"/>
  <c r="F73" i="5" s="1"/>
  <c r="H68" i="5"/>
  <c r="F66" i="5"/>
  <c r="H64" i="5"/>
  <c r="H66" i="5" s="1"/>
  <c r="H63" i="5"/>
  <c r="H62" i="5"/>
  <c r="H61" i="5"/>
  <c r="F59" i="5"/>
  <c r="H57" i="5"/>
  <c r="H56" i="5"/>
  <c r="H55" i="5"/>
  <c r="H59" i="5" s="1"/>
  <c r="H54" i="5"/>
  <c r="H50" i="5"/>
  <c r="F49" i="5"/>
  <c r="H49" i="5" s="1"/>
  <c r="F48" i="5"/>
  <c r="F52" i="5" s="1"/>
  <c r="H47" i="5"/>
  <c r="H43" i="5"/>
  <c r="F42" i="5"/>
  <c r="H42" i="5" s="1"/>
  <c r="F41" i="5"/>
  <c r="F45" i="5" s="1"/>
  <c r="H40" i="5"/>
  <c r="H36" i="5"/>
  <c r="F35" i="5"/>
  <c r="H35" i="5" s="1"/>
  <c r="F34" i="5"/>
  <c r="F38" i="5" s="1"/>
  <c r="H33" i="5"/>
  <c r="H32" i="5"/>
  <c r="H37" i="5" s="1"/>
  <c r="F32" i="5"/>
  <c r="F39" i="5" s="1"/>
  <c r="F31" i="5"/>
  <c r="H30" i="5"/>
  <c r="F30" i="5"/>
  <c r="H29" i="5"/>
  <c r="H31" i="5" s="1"/>
  <c r="H28" i="5"/>
  <c r="H26" i="5"/>
  <c r="H25" i="5"/>
  <c r="F24" i="5"/>
  <c r="F23" i="5"/>
  <c r="H22" i="5"/>
  <c r="H24" i="5" s="1"/>
  <c r="H21" i="5"/>
  <c r="H20" i="5"/>
  <c r="H19" i="5"/>
  <c r="H18" i="5"/>
  <c r="H23" i="5" s="1"/>
  <c r="F17" i="5"/>
  <c r="F16" i="5"/>
  <c r="H15" i="5"/>
  <c r="H14" i="5"/>
  <c r="F14" i="5"/>
  <c r="H13" i="5"/>
  <c r="H17" i="5" s="1"/>
  <c r="H12" i="5"/>
  <c r="H11" i="5"/>
  <c r="H16" i="5" s="1"/>
  <c r="F11" i="5"/>
  <c r="H9" i="5"/>
  <c r="F9" i="5"/>
  <c r="H8" i="5"/>
  <c r="F7" i="5"/>
  <c r="F10" i="5" s="1"/>
  <c r="H6" i="5"/>
  <c r="H5" i="5"/>
  <c r="H4" i="5"/>
  <c r="H93" i="4"/>
  <c r="F93" i="4"/>
  <c r="F92" i="4"/>
  <c r="H92" i="4" s="1"/>
  <c r="F89" i="4"/>
  <c r="H89" i="4" s="1"/>
  <c r="H88" i="4"/>
  <c r="H85" i="4"/>
  <c r="F84" i="4"/>
  <c r="F87" i="4" s="1"/>
  <c r="H83" i="4"/>
  <c r="F83" i="4"/>
  <c r="H82" i="4"/>
  <c r="H81" i="4"/>
  <c r="H86" i="4" s="1"/>
  <c r="F81" i="4"/>
  <c r="F86" i="4" s="1"/>
  <c r="F79" i="4"/>
  <c r="H78" i="4"/>
  <c r="F77" i="4"/>
  <c r="H77" i="4" s="1"/>
  <c r="H76" i="4"/>
  <c r="H80" i="4" s="1"/>
  <c r="F76" i="4"/>
  <c r="H75" i="4"/>
  <c r="H74" i="4"/>
  <c r="H79" i="4" s="1"/>
  <c r="F72" i="4"/>
  <c r="H71" i="4"/>
  <c r="F70" i="4"/>
  <c r="H70" i="4" s="1"/>
  <c r="H69" i="4"/>
  <c r="F69" i="4"/>
  <c r="F73" i="4" s="1"/>
  <c r="H68" i="4"/>
  <c r="H67" i="4"/>
  <c r="H72" i="4" s="1"/>
  <c r="F65" i="4"/>
  <c r="H64" i="4"/>
  <c r="F63" i="4"/>
  <c r="H63" i="4" s="1"/>
  <c r="F62" i="4"/>
  <c r="F66" i="4" s="1"/>
  <c r="H61" i="4"/>
  <c r="H60" i="4"/>
  <c r="H65" i="4" s="1"/>
  <c r="F59" i="4"/>
  <c r="F58" i="4"/>
  <c r="H57" i="4"/>
  <c r="H56" i="4"/>
  <c r="F56" i="4"/>
  <c r="F55" i="4"/>
  <c r="H55" i="4" s="1"/>
  <c r="H59" i="4" s="1"/>
  <c r="H54" i="4"/>
  <c r="H53" i="4"/>
  <c r="H58" i="4" s="1"/>
  <c r="F51" i="4"/>
  <c r="H50" i="4"/>
  <c r="F49" i="4"/>
  <c r="F52" i="4" s="1"/>
  <c r="F48" i="4"/>
  <c r="H48" i="4" s="1"/>
  <c r="H47" i="4"/>
  <c r="H46" i="4"/>
  <c r="H51" i="4" s="1"/>
  <c r="F44" i="4"/>
  <c r="H43" i="4"/>
  <c r="F42" i="4"/>
  <c r="H42" i="4" s="1"/>
  <c r="H41" i="4"/>
  <c r="H45" i="4" s="1"/>
  <c r="F41" i="4"/>
  <c r="F45" i="4" s="1"/>
  <c r="F40" i="4"/>
  <c r="H40" i="4" s="1"/>
  <c r="H39" i="4"/>
  <c r="H44" i="4" s="1"/>
  <c r="F38" i="4"/>
  <c r="H37" i="4"/>
  <c r="F37" i="4"/>
  <c r="H36" i="4"/>
  <c r="H35" i="4"/>
  <c r="H34" i="4"/>
  <c r="H38" i="4" s="1"/>
  <c r="H33" i="4"/>
  <c r="H32" i="4"/>
  <c r="F30" i="4"/>
  <c r="H29" i="4"/>
  <c r="F28" i="4"/>
  <c r="F31" i="4" s="1"/>
  <c r="F27" i="4"/>
  <c r="H27" i="4" s="1"/>
  <c r="H26" i="4"/>
  <c r="H25" i="4"/>
  <c r="H30" i="4" s="1"/>
  <c r="F23" i="4"/>
  <c r="H22" i="4"/>
  <c r="F21" i="4"/>
  <c r="H21" i="4" s="1"/>
  <c r="H20" i="4"/>
  <c r="F20" i="4"/>
  <c r="F24" i="4" s="1"/>
  <c r="H19" i="4"/>
  <c r="H18" i="4"/>
  <c r="H23" i="4" s="1"/>
  <c r="F16" i="4"/>
  <c r="H15" i="4"/>
  <c r="F14" i="4"/>
  <c r="H14" i="4" s="1"/>
  <c r="F13" i="4"/>
  <c r="F17" i="4" s="1"/>
  <c r="H12" i="4"/>
  <c r="H11" i="4"/>
  <c r="H16" i="4" s="1"/>
  <c r="F10" i="4"/>
  <c r="F9" i="4"/>
  <c r="H8" i="4"/>
  <c r="H7" i="4"/>
  <c r="F7" i="4"/>
  <c r="F91" i="4" s="1"/>
  <c r="H91" i="4" s="1"/>
  <c r="F6" i="4"/>
  <c r="F90" i="4" s="1"/>
  <c r="H5" i="4"/>
  <c r="H4" i="4"/>
  <c r="H9" i="4" s="1"/>
  <c r="F93" i="3"/>
  <c r="H92" i="3"/>
  <c r="F92" i="3"/>
  <c r="H89" i="3"/>
  <c r="F89" i="3"/>
  <c r="H88" i="3"/>
  <c r="H93" i="3" s="1"/>
  <c r="F87" i="3"/>
  <c r="F86" i="3"/>
  <c r="H85" i="3"/>
  <c r="H84" i="3"/>
  <c r="F84" i="3"/>
  <c r="H83" i="3"/>
  <c r="H87" i="3" s="1"/>
  <c r="F83" i="3"/>
  <c r="H82" i="3"/>
  <c r="H81" i="3"/>
  <c r="H86" i="3" s="1"/>
  <c r="F79" i="3"/>
  <c r="H78" i="3"/>
  <c r="F77" i="3"/>
  <c r="H77" i="3" s="1"/>
  <c r="F76" i="3"/>
  <c r="F80" i="3" s="1"/>
  <c r="H75" i="3"/>
  <c r="H74" i="3"/>
  <c r="H79" i="3" s="1"/>
  <c r="F73" i="3"/>
  <c r="F72" i="3"/>
  <c r="H71" i="3"/>
  <c r="H70" i="3"/>
  <c r="F70" i="3"/>
  <c r="H69" i="3"/>
  <c r="H73" i="3" s="1"/>
  <c r="F69" i="3"/>
  <c r="H68" i="3"/>
  <c r="H67" i="3"/>
  <c r="H72" i="3" s="1"/>
  <c r="F65" i="3"/>
  <c r="H64" i="3"/>
  <c r="F63" i="3"/>
  <c r="H63" i="3" s="1"/>
  <c r="F62" i="3"/>
  <c r="H62" i="3" s="1"/>
  <c r="H66" i="3" s="1"/>
  <c r="H61" i="3"/>
  <c r="H60" i="3"/>
  <c r="H65" i="3" s="1"/>
  <c r="F59" i="3"/>
  <c r="F58" i="3"/>
  <c r="H57" i="3"/>
  <c r="H56" i="3"/>
  <c r="F56" i="3"/>
  <c r="H55" i="3"/>
  <c r="H59" i="3" s="1"/>
  <c r="F55" i="3"/>
  <c r="H54" i="3"/>
  <c r="H53" i="3"/>
  <c r="H58" i="3" s="1"/>
  <c r="F51" i="3"/>
  <c r="H50" i="3"/>
  <c r="F49" i="3"/>
  <c r="H49" i="3" s="1"/>
  <c r="F48" i="3"/>
  <c r="F52" i="3" s="1"/>
  <c r="H47" i="3"/>
  <c r="H46" i="3"/>
  <c r="H51" i="3" s="1"/>
  <c r="F45" i="3"/>
  <c r="F44" i="3"/>
  <c r="H43" i="3"/>
  <c r="H42" i="3"/>
  <c r="F42" i="3"/>
  <c r="H41" i="3"/>
  <c r="H45" i="3" s="1"/>
  <c r="F41" i="3"/>
  <c r="H40" i="3"/>
  <c r="H39" i="3"/>
  <c r="H44" i="3" s="1"/>
  <c r="F37" i="3"/>
  <c r="H36" i="3"/>
  <c r="F35" i="3"/>
  <c r="H35" i="3" s="1"/>
  <c r="F34" i="3"/>
  <c r="H34" i="3" s="1"/>
  <c r="H33" i="3"/>
  <c r="H32" i="3"/>
  <c r="H37" i="3" s="1"/>
  <c r="F31" i="3"/>
  <c r="F30" i="3"/>
  <c r="H29" i="3"/>
  <c r="H28" i="3"/>
  <c r="F28" i="3"/>
  <c r="H27" i="3"/>
  <c r="H31" i="3" s="1"/>
  <c r="F27" i="3"/>
  <c r="H26" i="3"/>
  <c r="H25" i="3"/>
  <c r="H30" i="3" s="1"/>
  <c r="F23" i="3"/>
  <c r="H22" i="3"/>
  <c r="F21" i="3"/>
  <c r="H21" i="3" s="1"/>
  <c r="F20" i="3"/>
  <c r="F24" i="3" s="1"/>
  <c r="H19" i="3"/>
  <c r="H18" i="3"/>
  <c r="H23" i="3" s="1"/>
  <c r="F17" i="3"/>
  <c r="F16" i="3"/>
  <c r="H15" i="3"/>
  <c r="H14" i="3"/>
  <c r="F14" i="3"/>
  <c r="H13" i="3"/>
  <c r="H17" i="3" s="1"/>
  <c r="F13" i="3"/>
  <c r="H12" i="3"/>
  <c r="H11" i="3"/>
  <c r="H16" i="3" s="1"/>
  <c r="F9" i="3"/>
  <c r="H8" i="3"/>
  <c r="F7" i="3"/>
  <c r="F91" i="3" s="1"/>
  <c r="H91" i="3" s="1"/>
  <c r="F6" i="3"/>
  <c r="F90" i="3" s="1"/>
  <c r="H5" i="3"/>
  <c r="H4" i="3"/>
  <c r="H9" i="3" s="1"/>
  <c r="H90" i="2" l="1"/>
  <c r="H94" i="2" s="1"/>
  <c r="F94" i="2"/>
  <c r="H77" i="10"/>
  <c r="H81" i="10" s="1"/>
  <c r="H77" i="9"/>
  <c r="H81" i="9" s="1"/>
  <c r="H81" i="8"/>
  <c r="H81" i="7"/>
  <c r="H81" i="6"/>
  <c r="H9" i="6"/>
  <c r="H39" i="5"/>
  <c r="H44" i="5" s="1"/>
  <c r="F46" i="5"/>
  <c r="F44" i="5"/>
  <c r="H34" i="5"/>
  <c r="H38" i="5" s="1"/>
  <c r="F37" i="5"/>
  <c r="H41" i="5"/>
  <c r="H45" i="5" s="1"/>
  <c r="H48" i="5"/>
  <c r="H52" i="5" s="1"/>
  <c r="H69" i="5"/>
  <c r="H73" i="5" s="1"/>
  <c r="H76" i="5"/>
  <c r="H80" i="5" s="1"/>
  <c r="H83" i="5"/>
  <c r="H87" i="5" s="1"/>
  <c r="H7" i="5"/>
  <c r="H10" i="5" s="1"/>
  <c r="I94" i="5" s="1"/>
  <c r="F94" i="4"/>
  <c r="H90" i="4"/>
  <c r="H94" i="4" s="1"/>
  <c r="I93" i="4"/>
  <c r="H24" i="4"/>
  <c r="H73" i="4"/>
  <c r="H28" i="4"/>
  <c r="H31" i="4" s="1"/>
  <c r="H49" i="4"/>
  <c r="H52" i="4" s="1"/>
  <c r="F80" i="4"/>
  <c r="H84" i="4"/>
  <c r="H87" i="4" s="1"/>
  <c r="H6" i="4"/>
  <c r="H10" i="4" s="1"/>
  <c r="H13" i="4"/>
  <c r="H17" i="4" s="1"/>
  <c r="H62" i="4"/>
  <c r="H66" i="4" s="1"/>
  <c r="F94" i="3"/>
  <c r="H90" i="3"/>
  <c r="H94" i="3" s="1"/>
  <c r="I93" i="3"/>
  <c r="H38" i="3"/>
  <c r="H7" i="3"/>
  <c r="F10" i="3"/>
  <c r="H20" i="3"/>
  <c r="H24" i="3" s="1"/>
  <c r="F38" i="3"/>
  <c r="H48" i="3"/>
  <c r="H52" i="3" s="1"/>
  <c r="F66" i="3"/>
  <c r="H76" i="3"/>
  <c r="H80" i="3" s="1"/>
  <c r="H6" i="3"/>
  <c r="H46" i="5" l="1"/>
  <c r="H51" i="5" s="1"/>
  <c r="F53" i="5"/>
  <c r="F51" i="5"/>
  <c r="I94" i="4"/>
  <c r="H10" i="3"/>
  <c r="I94" i="3" s="1"/>
  <c r="F60" i="5" l="1"/>
  <c r="F58" i="5"/>
  <c r="H53" i="5"/>
  <c r="H58" i="5" s="1"/>
  <c r="F67" i="5" l="1"/>
  <c r="F65" i="5"/>
  <c r="H60" i="5"/>
  <c r="H65" i="5" s="1"/>
  <c r="F93" i="1"/>
  <c r="F92" i="1"/>
  <c r="H92" i="1" s="1"/>
  <c r="F89" i="1"/>
  <c r="H89" i="1" s="1"/>
  <c r="H88" i="1"/>
  <c r="H93" i="1" s="1"/>
  <c r="F86" i="1"/>
  <c r="H85" i="1"/>
  <c r="F84" i="1"/>
  <c r="H84" i="1" s="1"/>
  <c r="F83" i="1"/>
  <c r="F87" i="1" s="1"/>
  <c r="H82" i="1"/>
  <c r="H81" i="1"/>
  <c r="H86" i="1" s="1"/>
  <c r="F80" i="1"/>
  <c r="F79" i="1"/>
  <c r="H78" i="1"/>
  <c r="H77" i="1"/>
  <c r="F77" i="1"/>
  <c r="H76" i="1"/>
  <c r="H80" i="1" s="1"/>
  <c r="F76" i="1"/>
  <c r="H75" i="1"/>
  <c r="H74" i="1"/>
  <c r="H79" i="1" s="1"/>
  <c r="F72" i="1"/>
  <c r="H71" i="1"/>
  <c r="F70" i="1"/>
  <c r="H70" i="1" s="1"/>
  <c r="F69" i="1"/>
  <c r="H69" i="1" s="1"/>
  <c r="H68" i="1"/>
  <c r="H67" i="1"/>
  <c r="H72" i="1" s="1"/>
  <c r="F66" i="1"/>
  <c r="F65" i="1"/>
  <c r="H64" i="1"/>
  <c r="H63" i="1"/>
  <c r="F63" i="1"/>
  <c r="H62" i="1"/>
  <c r="H66" i="1" s="1"/>
  <c r="F62" i="1"/>
  <c r="H61" i="1"/>
  <c r="H60" i="1"/>
  <c r="H65" i="1" s="1"/>
  <c r="F58" i="1"/>
  <c r="H57" i="1"/>
  <c r="F56" i="1"/>
  <c r="H56" i="1" s="1"/>
  <c r="F55" i="1"/>
  <c r="F59" i="1" s="1"/>
  <c r="H54" i="1"/>
  <c r="H53" i="1"/>
  <c r="H58" i="1" s="1"/>
  <c r="F52" i="1"/>
  <c r="F51" i="1"/>
  <c r="H50" i="1"/>
  <c r="H49" i="1"/>
  <c r="F49" i="1"/>
  <c r="H48" i="1"/>
  <c r="H52" i="1" s="1"/>
  <c r="F48" i="1"/>
  <c r="H47" i="1"/>
  <c r="H46" i="1"/>
  <c r="H51" i="1" s="1"/>
  <c r="F44" i="1"/>
  <c r="H43" i="1"/>
  <c r="F42" i="1"/>
  <c r="H42" i="1" s="1"/>
  <c r="F41" i="1"/>
  <c r="H41" i="1" s="1"/>
  <c r="H40" i="1"/>
  <c r="H39" i="1"/>
  <c r="H44" i="1" s="1"/>
  <c r="F38" i="1"/>
  <c r="F37" i="1"/>
  <c r="H36" i="1"/>
  <c r="H35" i="1"/>
  <c r="F35" i="1"/>
  <c r="H34" i="1"/>
  <c r="H38" i="1" s="1"/>
  <c r="F34" i="1"/>
  <c r="H33" i="1"/>
  <c r="H32" i="1"/>
  <c r="H37" i="1" s="1"/>
  <c r="F30" i="1"/>
  <c r="H29" i="1"/>
  <c r="F28" i="1"/>
  <c r="H28" i="1" s="1"/>
  <c r="F27" i="1"/>
  <c r="F31" i="1" s="1"/>
  <c r="H26" i="1"/>
  <c r="H25" i="1"/>
  <c r="H30" i="1" s="1"/>
  <c r="F24" i="1"/>
  <c r="F23" i="1"/>
  <c r="H22" i="1"/>
  <c r="H21" i="1"/>
  <c r="F21" i="1"/>
  <c r="H20" i="1"/>
  <c r="H24" i="1" s="1"/>
  <c r="F20" i="1"/>
  <c r="H19" i="1"/>
  <c r="H18" i="1"/>
  <c r="H23" i="1" s="1"/>
  <c r="F16" i="1"/>
  <c r="H15" i="1"/>
  <c r="F14" i="1"/>
  <c r="H14" i="1" s="1"/>
  <c r="F13" i="1"/>
  <c r="H13" i="1" s="1"/>
  <c r="H12" i="1"/>
  <c r="H11" i="1"/>
  <c r="H16" i="1" s="1"/>
  <c r="F10" i="1"/>
  <c r="F9" i="1"/>
  <c r="H8" i="1"/>
  <c r="H7" i="1"/>
  <c r="F7" i="1"/>
  <c r="F91" i="1" s="1"/>
  <c r="H91" i="1" s="1"/>
  <c r="H6" i="1"/>
  <c r="H10" i="1" s="1"/>
  <c r="F6" i="1"/>
  <c r="F90" i="1" s="1"/>
  <c r="H5" i="1"/>
  <c r="H4" i="1"/>
  <c r="H9" i="1" s="1"/>
  <c r="H67" i="5" l="1"/>
  <c r="H72" i="5" s="1"/>
  <c r="F74" i="5"/>
  <c r="F72" i="5"/>
  <c r="H45" i="1"/>
  <c r="F94" i="1"/>
  <c r="H90" i="1"/>
  <c r="H94" i="1" s="1"/>
  <c r="H17" i="1"/>
  <c r="H73" i="1"/>
  <c r="F17" i="1"/>
  <c r="H27" i="1"/>
  <c r="H31" i="1" s="1"/>
  <c r="F45" i="1"/>
  <c r="H55" i="1"/>
  <c r="H59" i="1" s="1"/>
  <c r="F73" i="1"/>
  <c r="H83" i="1"/>
  <c r="H87" i="1" s="1"/>
  <c r="H74" i="5" l="1"/>
  <c r="H79" i="5" s="1"/>
  <c r="F81" i="5"/>
  <c r="F79" i="5"/>
  <c r="H81" i="5" l="1"/>
  <c r="H86" i="5" s="1"/>
  <c r="I93" i="5" s="1"/>
  <c r="F86" i="5"/>
</calcChain>
</file>

<file path=xl/comments1.xml><?xml version="1.0" encoding="utf-8"?>
<comments xmlns="http://schemas.openxmlformats.org/spreadsheetml/2006/main">
  <authors>
    <author>Krivneva</author>
  </authors>
  <commentList>
    <comment ref="F17" authorId="0">
      <text>
        <r>
          <rPr>
            <b/>
            <sz val="9"/>
            <color indexed="81"/>
            <rFont val="Tahoma"/>
            <family val="2"/>
            <charset val="204"/>
          </rPr>
          <t>Krivneva:</t>
        </r>
        <r>
          <rPr>
            <sz val="9"/>
            <color indexed="81"/>
            <rFont val="Tahoma"/>
            <family val="2"/>
            <charset val="204"/>
          </rPr>
          <t xml:space="preserve">
исправлено с 4638,337</t>
        </r>
      </text>
    </comment>
  </commentList>
</comments>
</file>

<file path=xl/sharedStrings.xml><?xml version="1.0" encoding="utf-8"?>
<sst xmlns="http://schemas.openxmlformats.org/spreadsheetml/2006/main" count="1820" uniqueCount="55">
  <si>
    <t>Выручка  ООО "КВЭП"  за услуги по передаче электрической энергии за 2023 год.</t>
  </si>
  <si>
    <t>№ п/п</t>
  </si>
  <si>
    <t>Месяц</t>
  </si>
  <si>
    <t>Номер и дата счет-фактуры</t>
  </si>
  <si>
    <t>Наименование услуги</t>
  </si>
  <si>
    <t>Ед. изм.</t>
  </si>
  <si>
    <t>Кол-во, МВт</t>
  </si>
  <si>
    <t>Цена за ед., руб.</t>
  </si>
  <si>
    <t>Сумма, руб. (без НДС)</t>
  </si>
  <si>
    <t>если на упрощенке указывается с НДС</t>
  </si>
  <si>
    <t xml:space="preserve">Январь </t>
  </si>
  <si>
    <t>Сводный акт об оказании услуг по передаче электроэнергии</t>
  </si>
  <si>
    <t>Содержание эл.сети</t>
  </si>
  <si>
    <t>руб/МВт.мес.</t>
  </si>
  <si>
    <t>Технолог. расход потерь на передачу э/энергии ВН</t>
  </si>
  <si>
    <t>руб./МВт.ч.</t>
  </si>
  <si>
    <t>Технолог. расход потерь на передачу э/энергии СН1</t>
  </si>
  <si>
    <t>Технолог. расход потерь на передачу э/энергии СН2</t>
  </si>
  <si>
    <t>Технолог. расход потерь на передачу э/энергии НН</t>
  </si>
  <si>
    <t>Итого содержание:</t>
  </si>
  <si>
    <t>Итого потери: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</si>
  <si>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</si>
  <si>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</si>
  <si>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</si>
  <si>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</si>
  <si>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</si>
  <si>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</si>
  <si>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</si>
  <si>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</si>
  <si>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</si>
  <si>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</si>
  <si>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</si>
  <si>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Главный бухгалтер</t>
  </si>
  <si>
    <t>Терехова Т.А.</t>
  </si>
  <si>
    <t>Экономист</t>
  </si>
  <si>
    <t>Кривнева Е.В.</t>
  </si>
  <si>
    <t>Выручка  ООО "КВЭП"  за услуги по передаче электрической энергии за 2024 год.</t>
  </si>
  <si>
    <t>Выручка  ООО "КВЭП"  за услуги по передаче электрической энергии за 2022 год.</t>
  </si>
  <si>
    <t>Январь (с учетом корректировок</t>
  </si>
  <si>
    <t>Февраль (с учетом корректировок)</t>
  </si>
  <si>
    <t>Март (с учетом корректировок)</t>
  </si>
  <si>
    <t>Апрель  (с учетом корректировок)</t>
  </si>
  <si>
    <t>Май  (с учетом корректировок)</t>
  </si>
  <si>
    <t>Выручка  ООО "КВЭП"  за услуги по передаче электрической энергии за 2021 год.</t>
  </si>
  <si>
    <t>Выручка  ООО "КВЭП"  за услуги по передаче электрической энергии за 2020 год.</t>
  </si>
  <si>
    <t>Январь (с учетом корректировки в марте)</t>
  </si>
  <si>
    <t>Февраль (с учетом корректировки в марте)</t>
  </si>
  <si>
    <t>Март</t>
  </si>
  <si>
    <t>Выручка  ООО "КВЭП"  за услуги по передаче электрической энергии за 2019 год.</t>
  </si>
  <si>
    <t>Январь</t>
  </si>
  <si>
    <t>Выручка  ООО "КВЭП"  за услуги по передаче электрической энергии за 2018 год.</t>
  </si>
  <si>
    <t>Исполнительный директор</t>
  </si>
  <si>
    <t>Выручка  ООО "КВЭП"  за услуги по передаче электрической энергии за 2017 год.</t>
  </si>
  <si>
    <t>Выручка  ООО "КВЭП"  за услуги по передаче электрической энергии за 2016 год.</t>
  </si>
  <si>
    <t>Выручка  ООО "КВЭП"  за услуги по передаче электрической энергии за 2015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</si>
</sst>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0"/>
    <numFmt numFmtId="165" formatCode="_-* #,##0.00_р_._-;\-* #,##0.00_р_._-;_-* &quot;-&quot;??_р_._-;_-@_-"/>
    <numFmt numFmtId="166" formatCode="#,##0.0"/>
    <numFmt numFmtId="167" formatCode="&quot;$&quot;#,##0_);[Red]\(&quot;$&quot;#,##0\)"/>
    <numFmt numFmtId="168" formatCode="General_)"/>
    <numFmt numFmtId="169" formatCode="_-* #,##0_р_._-;\-* #,##0_р_._-;_-* &quot;-&quot;_р_._-;_-@_-"/>
    <numFmt numFmtId="170" formatCode="#,##0.0000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9"/>
      <name val="Arial"/>
      <family val="2"/>
      <charset val="204"/>
    </font>
    <font>
      <b/>
      <sz val="10"/>
      <color indexed="21"/>
      <name val="Arial"/>
      <family val="2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NTHarmonica"/>
    </font>
    <font>
      <sz val="12"/>
      <color theme="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165" fontId="12" fillId="0" borderId="0" applyFont="0" applyFill="0" applyBorder="0" applyAlignment="0" applyProtection="0"/>
    <xf numFmtId="0" fontId="13" fillId="0" borderId="0"/>
    <xf numFmtId="167" fontId="16" fillId="0" borderId="0" applyFont="0" applyFill="0" applyBorder="0" applyAlignment="0" applyProtection="0"/>
    <xf numFmtId="49" fontId="17" fillId="0" borderId="0" applyBorder="0">
      <alignment vertical="top"/>
    </xf>
    <xf numFmtId="0" fontId="18" fillId="0" borderId="0"/>
    <xf numFmtId="0" fontId="19" fillId="0" borderId="0" applyNumberFormat="0">
      <alignment horizontal="left"/>
    </xf>
    <xf numFmtId="4" fontId="13" fillId="4" borderId="21" applyNumberFormat="0" applyProtection="0">
      <alignment horizontal="left" vertical="center" indent="1"/>
    </xf>
    <xf numFmtId="0" fontId="13" fillId="5" borderId="21" applyNumberFormat="0" applyProtection="0">
      <alignment horizontal="left" vertical="center" indent="1"/>
    </xf>
    <xf numFmtId="0" fontId="13" fillId="6" borderId="21" applyNumberFormat="0" applyProtection="0">
      <alignment horizontal="left" vertical="center" indent="1"/>
    </xf>
    <xf numFmtId="168" fontId="20" fillId="0" borderId="22">
      <protection locked="0"/>
    </xf>
    <xf numFmtId="0" fontId="21" fillId="0" borderId="0" applyBorder="0">
      <alignment horizontal="center" vertical="center" wrapText="1"/>
    </xf>
    <xf numFmtId="0" fontId="22" fillId="0" borderId="1" applyBorder="0">
      <alignment horizontal="center" vertical="center" wrapText="1"/>
    </xf>
    <xf numFmtId="168" fontId="23" fillId="7" borderId="22"/>
    <xf numFmtId="4" fontId="17" fillId="8" borderId="9" applyBorder="0">
      <alignment horizontal="right"/>
    </xf>
    <xf numFmtId="0" fontId="24" fillId="9" borderId="0" applyFill="0">
      <alignment wrapText="1"/>
    </xf>
    <xf numFmtId="0" fontId="25" fillId="0" borderId="0">
      <alignment horizontal="center" vertical="top" wrapText="1"/>
    </xf>
    <xf numFmtId="0" fontId="26" fillId="0" borderId="0">
      <alignment horizontal="center" vertical="center" wrapText="1"/>
    </xf>
    <xf numFmtId="0" fontId="27" fillId="0" borderId="0"/>
    <xf numFmtId="0" fontId="28" fillId="0" borderId="0"/>
    <xf numFmtId="49" fontId="17" fillId="0" borderId="0" applyBorder="0">
      <alignment vertical="top"/>
    </xf>
    <xf numFmtId="0" fontId="1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1" fillId="0" borderId="0"/>
    <xf numFmtId="49" fontId="24" fillId="0" borderId="0">
      <alignment horizontal="center"/>
    </xf>
    <xf numFmtId="169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" fontId="17" fillId="9" borderId="0" applyFont="0" applyBorder="0">
      <alignment horizontal="right"/>
    </xf>
    <xf numFmtId="4" fontId="17" fillId="9" borderId="0" applyBorder="0">
      <alignment horizontal="right"/>
    </xf>
    <xf numFmtId="4" fontId="17" fillId="9" borderId="0" applyBorder="0">
      <alignment horizontal="right"/>
    </xf>
    <xf numFmtId="4" fontId="17" fillId="9" borderId="5" applyBorder="0">
      <alignment horizontal="right"/>
    </xf>
    <xf numFmtId="4" fontId="17" fillId="10" borderId="7" applyBorder="0">
      <alignment horizontal="right"/>
    </xf>
  </cellStyleXfs>
  <cellXfs count="17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164" fontId="5" fillId="0" borderId="0" xfId="0" applyNumberFormat="1" applyFont="1"/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4" fontId="10" fillId="2" borderId="9" xfId="0" applyNumberFormat="1" applyFont="1" applyFill="1" applyBorder="1" applyAlignment="1">
      <alignment horizontal="center" vertical="center"/>
    </xf>
    <xf numFmtId="4" fontId="10" fillId="2" borderId="10" xfId="0" applyNumberFormat="1" applyFont="1" applyFill="1" applyBorder="1" applyAlignment="1">
      <alignment horizontal="center" vertical="center"/>
    </xf>
    <xf numFmtId="4" fontId="5" fillId="0" borderId="0" xfId="0" applyNumberFormat="1" applyFont="1"/>
    <xf numFmtId="0" fontId="4" fillId="2" borderId="1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164" fontId="10" fillId="2" borderId="12" xfId="0" applyNumberFormat="1" applyFont="1" applyFill="1" applyBorder="1" applyAlignment="1">
      <alignment horizontal="center" vertical="center"/>
    </xf>
    <xf numFmtId="4" fontId="10" fillId="2" borderId="12" xfId="0" applyNumberFormat="1" applyFont="1" applyFill="1" applyBorder="1" applyAlignment="1">
      <alignment horizontal="center" vertical="center"/>
    </xf>
    <xf numFmtId="4" fontId="10" fillId="2" borderId="13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0" fontId="11" fillId="0" borderId="0" xfId="0" applyFont="1"/>
    <xf numFmtId="4" fontId="6" fillId="2" borderId="7" xfId="0" applyNumberFormat="1" applyFont="1" applyFill="1" applyBorder="1" applyAlignment="1">
      <alignment horizontal="center" vertical="center"/>
    </xf>
    <xf numFmtId="165" fontId="5" fillId="0" borderId="0" xfId="1" applyFont="1"/>
    <xf numFmtId="166" fontId="5" fillId="0" borderId="0" xfId="0" applyNumberFormat="1" applyFont="1"/>
    <xf numFmtId="164" fontId="6" fillId="2" borderId="16" xfId="0" applyNumberFormat="1" applyFont="1" applyFill="1" applyBorder="1" applyAlignment="1">
      <alignment horizontal="center" vertical="center"/>
    </xf>
    <xf numFmtId="4" fontId="14" fillId="0" borderId="19" xfId="2" applyNumberFormat="1" applyFont="1" applyBorder="1" applyAlignment="1">
      <alignment horizontal="right" vertical="top" wrapText="1"/>
    </xf>
    <xf numFmtId="4" fontId="15" fillId="3" borderId="20" xfId="2" applyNumberFormat="1" applyFont="1" applyFill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165" fontId="3" fillId="0" borderId="0" xfId="1" applyFont="1"/>
    <xf numFmtId="164" fontId="10" fillId="2" borderId="23" xfId="0" applyNumberFormat="1" applyFont="1" applyFill="1" applyBorder="1" applyAlignment="1">
      <alignment horizontal="center" vertical="center"/>
    </xf>
    <xf numFmtId="4" fontId="10" fillId="2" borderId="23" xfId="0" applyNumberFormat="1" applyFont="1" applyFill="1" applyBorder="1" applyAlignment="1">
      <alignment horizontal="center" vertical="center"/>
    </xf>
    <xf numFmtId="4" fontId="10" fillId="2" borderId="24" xfId="0" applyNumberFormat="1" applyFont="1" applyFill="1" applyBorder="1" applyAlignment="1">
      <alignment horizontal="center" vertical="center"/>
    </xf>
    <xf numFmtId="4" fontId="6" fillId="2" borderId="25" xfId="0" applyNumberFormat="1" applyFont="1" applyFill="1" applyBorder="1" applyAlignment="1">
      <alignment horizontal="center" vertical="center"/>
    </xf>
    <xf numFmtId="4" fontId="33" fillId="0" borderId="0" xfId="0" applyNumberFormat="1" applyFont="1"/>
    <xf numFmtId="4" fontId="6" fillId="2" borderId="16" xfId="0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164" fontId="4" fillId="2" borderId="23" xfId="0" applyNumberFormat="1" applyFont="1" applyFill="1" applyBorder="1" applyAlignment="1">
      <alignment horizontal="center" vertical="center"/>
    </xf>
    <xf numFmtId="4" fontId="4" fillId="2" borderId="23" xfId="0" applyNumberFormat="1" applyFont="1" applyFill="1" applyBorder="1" applyAlignment="1">
      <alignment horizontal="center" vertical="center"/>
    </xf>
    <xf numFmtId="4" fontId="4" fillId="2" borderId="24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164" fontId="4" fillId="0" borderId="23" xfId="0" applyNumberFormat="1" applyFont="1" applyFill="1" applyBorder="1" applyAlignment="1">
      <alignment horizontal="center" vertical="center"/>
    </xf>
    <xf numFmtId="4" fontId="4" fillId="0" borderId="23" xfId="0" applyNumberFormat="1" applyFont="1" applyFill="1" applyBorder="1" applyAlignment="1">
      <alignment horizontal="center" vertical="center"/>
    </xf>
    <xf numFmtId="4" fontId="4" fillId="0" borderId="24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center" vertical="center"/>
    </xf>
    <xf numFmtId="166" fontId="5" fillId="0" borderId="7" xfId="0" applyNumberFormat="1" applyFont="1" applyBorder="1" applyAlignment="1">
      <alignment horizontal="center" vertical="center"/>
    </xf>
    <xf numFmtId="170" fontId="5" fillId="0" borderId="9" xfId="0" applyNumberFormat="1" applyFont="1" applyBorder="1" applyAlignment="1">
      <alignment horizontal="center" vertical="center"/>
    </xf>
    <xf numFmtId="4" fontId="30" fillId="0" borderId="19" xfId="2" applyNumberFormat="1" applyFont="1" applyBorder="1" applyAlignment="1">
      <alignment horizontal="right" vertical="top" wrapText="1"/>
    </xf>
    <xf numFmtId="4" fontId="36" fillId="0" borderId="0" xfId="0" applyNumberFormat="1" applyFont="1"/>
    <xf numFmtId="4" fontId="11" fillId="0" borderId="0" xfId="0" applyNumberFormat="1" applyFont="1"/>
    <xf numFmtId="0" fontId="3" fillId="0" borderId="0" xfId="0" applyFont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5" fillId="3" borderId="19" xfId="2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</cellXfs>
  <cellStyles count="45">
    <cellStyle name="Currency [0]" xfId="3"/>
    <cellStyle name="Normal_Form2.1" xfId="4"/>
    <cellStyle name="Normal1" xfId="5"/>
    <cellStyle name="Price_Body" xfId="6"/>
    <cellStyle name="SAPBEXchaText" xfId="7"/>
    <cellStyle name="SAPBEXHLevel2" xfId="8"/>
    <cellStyle name="SAPBEXHLevel3" xfId="9"/>
    <cellStyle name="Беззащитный" xfId="10"/>
    <cellStyle name="Заголовок" xfId="11"/>
    <cellStyle name="ЗаголовокСтолбца" xfId="12"/>
    <cellStyle name="Защитный" xfId="13"/>
    <cellStyle name="Значение" xfId="14"/>
    <cellStyle name="Мои наименования показателей" xfId="15"/>
    <cellStyle name="Мой заголовок" xfId="16"/>
    <cellStyle name="Мой заголовок листа" xfId="17"/>
    <cellStyle name="Обычный" xfId="0" builtinId="0"/>
    <cellStyle name="Обычный 13" xfId="18"/>
    <cellStyle name="Обычный 18" xfId="19"/>
    <cellStyle name="Обычный 2" xfId="20"/>
    <cellStyle name="Обычный 2 2" xfId="21"/>
    <cellStyle name="Обычный 2 3" xfId="22"/>
    <cellStyle name="Обычный 2_наш последний RAB (28.09.10)" xfId="23"/>
    <cellStyle name="Обычный 3" xfId="24"/>
    <cellStyle name="Обычный 3 2" xfId="25"/>
    <cellStyle name="Обычный 3 2 2" xfId="26"/>
    <cellStyle name="Обычный 4" xfId="27"/>
    <cellStyle name="Обычный 5" xfId="28"/>
    <cellStyle name="Обычный 6" xfId="29"/>
    <cellStyle name="Обычный 6 2" xfId="30"/>
    <cellStyle name="Обычный 7" xfId="31"/>
    <cellStyle name="Обычный_Выручка" xfId="2"/>
    <cellStyle name="Процентный 2" xfId="32"/>
    <cellStyle name="Процентный 5" xfId="33"/>
    <cellStyle name="Стиль 1" xfId="34"/>
    <cellStyle name="Текстовый" xfId="35"/>
    <cellStyle name="Тысячи [0]_3Com" xfId="36"/>
    <cellStyle name="Тысячи_3Com" xfId="37"/>
    <cellStyle name="Финансовый" xfId="1" builtinId="3"/>
    <cellStyle name="Финансовый 2" xfId="38"/>
    <cellStyle name="Финансовый 3" xfId="39"/>
    <cellStyle name="Формула" xfId="40"/>
    <cellStyle name="Формула 2" xfId="41"/>
    <cellStyle name="Формула_GRES.2007.5" xfId="42"/>
    <cellStyle name="ФормулаВБ" xfId="43"/>
    <cellStyle name="ФормулаНаКонтроль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ZA\BIZNES\2001\FINICH\B-PL\NBPL\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52;&#1086;&#1080;%20&#1076;&#1086;&#1082;&#1091;&#1084;&#1077;&#1085;&#1090;&#1099;\&#1043;&#1086;&#1088;&#1102;&#1085;&#1086;&#1074;&#1072;\&#1056;&#1040;&#1057;&#1063;&#1045;&#1058;%20&#1058;&#1040;&#1056;&#1048;&#1060;&#1054;&#1042;\&#1040;&#1069;&#1056;&#1054;&#1055;&#1054;&#1056;&#1058;%20&#1057;&#1054;&#1063;&#1048;\&#1052;&#1040;&#1057;%202014\&#1048;&#1055;%20&#1052;&#1080;&#1083;&#1072;&#1085;&#1086;&#1074;&#1080;&#1095;%20&#1076;&#1072;&#1085;&#1085;&#1099;&#1077;%20&#1087;&#1088;&#1077;&#1076;&#1087;&#1088;&#1080;&#1103;&#1090;&#1080;&#1103;\KOTEL.CALC.NVV.NET.3.23(v3.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86;&#1080;%20&#1076;&#1086;&#1082;-&#1090;&#1099;%20&#1076;&#1080;&#1089;&#1082;%20D\&#1052;&#1086;&#1080;%20&#1076;&#1086;&#1082;&#1091;&#1084;&#1077;&#1085;&#1090;&#1099;\&#1043;&#1086;&#1088;&#1102;&#1085;&#1086;&#1074;&#1072;\&#1056;&#1040;&#1057;&#1063;&#1045;&#1058;%20&#1058;&#1040;&#1056;&#1048;&#1060;&#1054;&#1042;\&#1070;&#1043;&#1069;&#1053;&#1045;&#1056;&#1043;&#1054;&#1069;&#1050;&#1057;&#1055;&#1045;&#1056;&#1058;\&#1070;&#1075;&#1101;&#1085;&#1077;&#1088;&#1075;&#1086;&#1101;&#1082;&#1089;&#1087;&#1077;&#1088;&#1090;%202011\&#1058;&#1072;&#1088;&#1080;&#1092;%20&#1045;&#1048;&#1040;&#1057;\&#1045;&#1048;&#1040;&#1057;%20&#1050;&#1088;&#1072;&#1089;&#1085;&#1086;&#1076;&#1072;&#1088;&#1101;&#1082;&#1086;&#1085;&#1077;&#1092;&#1090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haelsrv\disk%20t\Documents%20and%20Settings\Gorunova.REKDEPNEW\&#1052;&#1086;&#1080;%20&#1076;&#1086;&#1082;&#1091;&#1084;&#1077;&#1085;&#1090;&#1099;\&#1043;&#1086;&#1088;&#1102;&#1085;&#1086;&#1074;&#1072;\&#1056;&#1040;&#1057;&#1063;&#1045;&#1058;%20&#1058;&#1040;&#1056;&#1048;&#1060;&#1054;&#1042;\&#1069;&#1053;&#1045;&#1056;&#1043;&#1054;&#1057;&#1045;&#1056;&#1042;&#1048;&#1057;\&#1056;&#1040;&#1057;&#1063;&#1045;&#1058;%20&#1069;&#1053;&#1045;&#1056;&#1043;&#1054;&#1057;&#1045;&#1056;&#1042;&#1048;&#1057;%202008\&#1058;&#1040;&#1056;&#1048;&#1060;%20&#1045;&#1048;&#1040;&#1057;%20&#1069;&#1085;&#1077;&#1088;&#1075;&#1086;&#1089;&#1077;&#1088;&#1074;&#1080;&#1089;\&#1041;&#1088;&#1080;&#1089;-&#1041;&#1086;&#1089;&#1092;&#1086;&#1088;%20&#1045;&#1048;&#1040;&#105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52;&#1086;&#1080;%20&#1076;&#1086;&#1082;&#1091;&#1084;&#1077;&#1085;&#1090;&#1099;\&#1043;&#1086;&#1088;&#1102;&#1085;&#1086;&#1074;&#1072;\&#1056;&#1040;&#1057;&#1063;&#1045;&#1058;%20&#1058;&#1040;&#1056;&#1048;&#1060;&#1054;&#1042;\&#1052;&#1040;&#1049;&#1050;&#1054;&#1055;&#1057;&#1050;&#1040;&#1071;%20&#1058;&#1069;&#1062;\&#1052;&#1040;&#1049;&#1050;&#1054;&#1055;&#1057;&#1050;&#1040;&#1071;%20&#1058;&#1069;&#1062;%202015\ENERGY.KTL.LT.CALC.NVV.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2;&#1054;&#1048;%20&#1044;&#1054;&#1050;&#1059;&#1052;&#1045;&#1053;&#1058;&#1067;%20&#1050;&#1042;&#1069;&#1055;\&#1089;&#1095;&#1077;&#1090;&#1072;%20&#1092;&#1072;&#1082;&#1090;&#1091;&#1088;&#1099;\2023\&#1055;&#1056;&#1045;&#1044;&#1045;&#1051;&#1067;%20&#1087;&#1077;&#1088;&#1077;&#1076;&#1072;&#1095;&#1072;%202015\PEREDACHA.2014(v1.0.2)%2014.03.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Ком потери"/>
      <sheetName val="InputTI"/>
      <sheetName val="_FES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списки"/>
      <sheetName val="Позиция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SMetstrait"/>
      <sheetName val="Контроль"/>
      <sheetName val="Отопление"/>
      <sheetName val="постоянные затраты"/>
      <sheetName val="2.Ê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tech"/>
      <sheetName val="TEHSHEET"/>
      <sheetName val="НВВ Затраты+"/>
      <sheetName val="modNVVZPlus"/>
      <sheetName val="Расчёт расходов долгосрочный"/>
      <sheetName val="modLongterm"/>
      <sheetName val="Расчёт расходов RAB"/>
      <sheetName val="modRAB"/>
      <sheetName val="Расчёт НВВ по RAB"/>
      <sheetName val="modNVVRAB"/>
      <sheetName val="Расшифровка расходов"/>
      <sheetName val="Свод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UpdateStatus"/>
      <sheetName val="modUpdTemplMain"/>
      <sheetName val="modProv"/>
      <sheetName val="REESTR_ORG"/>
      <sheetName val="REESTR"/>
      <sheetName val="modSheetTitle"/>
      <sheetName val="modfrmMethod"/>
      <sheetName val="modApplyMethods"/>
      <sheetName val="modSheetCostsDetails"/>
    </sheetNames>
    <sheetDataSet>
      <sheetData sheetId="0" refreshError="1"/>
      <sheetData sheetId="1" refreshError="1"/>
      <sheetData sheetId="2" refreshError="1"/>
      <sheetData sheetId="3">
        <row r="5">
          <cell r="M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ЭСО"/>
      <sheetName val="сбыт"/>
      <sheetName val="Ген. не уч. ОРЭМ"/>
      <sheetName val="сети"/>
      <sheetName val="шаблон для R3"/>
      <sheetName val="перекрестка"/>
      <sheetName val="16"/>
      <sheetName val="18.2"/>
      <sheetName val="4"/>
      <sheetName val="6"/>
      <sheetName val="15"/>
      <sheetName val="17.1"/>
      <sheetName val="2.3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Control"/>
      <sheetName val="Приток"/>
      <sheetName val="Отток"/>
      <sheetName val="Списки"/>
      <sheetName val="FST5"/>
      <sheetName val="35998"/>
      <sheetName val="44"/>
      <sheetName val="92"/>
      <sheetName val="94"/>
      <sheetName val="97"/>
      <sheetName val="Отчет"/>
      <sheetName val="Титульный"/>
      <sheetName val="TSheet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очник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"/>
      <sheetName val="Справка"/>
      <sheetName val="ПС - Действующие"/>
      <sheetName val="ФБР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  <sheetName val="共機計算"/>
      <sheetName val="合成単価作成・-bldg"/>
      <sheetName val="Curves"/>
      <sheetName val="Note"/>
      <sheetName val="Heads"/>
      <sheetName val="Dbase"/>
      <sheetName val="Tables"/>
      <sheetName val="Page 2"/>
      <sheetName val="Служебный лист"/>
      <sheetName val="прогноз_1"/>
      <sheetName val="на 1 тут"/>
      <sheetName val="HO_hrs"/>
      <sheetName val="ESTI."/>
      <sheetName val="DI-ESTI"/>
      <sheetName val="main gate house"/>
      <sheetName val="см-2 шатурс сети  проект работы"/>
      <sheetName val="бддс_свод"/>
      <sheetName val="Бюджет_6ме_x0000__x0000_Ԁ_x0000_䀀"/>
      <sheetName val="Бюджет_6ме_x0000__x0000_Ԁ_x0000_耀"/>
      <sheetName val="Бюджет_6ме栍⹑렀쁚쨉"/>
      <sheetName val="Бюджет_6ме栊⹑က줳쨌"/>
      <sheetName val="Бюджет_6ме쨌/_x0000_蠀"/>
      <sheetName val="Бюджет_6ме쨀/_x0000_"/>
      <sheetName val="Расчет НВВ общий"/>
      <sheetName val="Уравнения"/>
      <sheetName val="расчетный"/>
      <sheetName val="расчет"/>
      <sheetName val="Проводки'02"/>
      <sheetName val="group structure"/>
      <sheetName val="Баланс"/>
      <sheetName val="сведения"/>
      <sheetName val="T0"/>
      <sheetName val="T25"/>
      <sheetName val="T31"/>
      <sheetName val="income statement"/>
      <sheetName val="Форма сетевой график ЭРСБ"/>
      <sheetName val="B inputs"/>
      <sheetName val="KrasInputs"/>
      <sheetName val="OMinputs"/>
      <sheetName val="TVinputs"/>
      <sheetName val="Бюджет_6ме"/>
      <sheetName val="Бюджет_6ме쨌/"/>
      <sheetName val="Бюджет_6ме쨀/"/>
      <sheetName val="тариф Бежецк"/>
      <sheetName val="BExRepositorySheet"/>
      <sheetName val="ПМЭС"/>
      <sheetName val="МЭС"/>
      <sheetName val="Лимит по протоколам"/>
      <sheetName val="Для лимита 2016"/>
      <sheetName val="Для лимита 2016 (И)"/>
      <sheetName val="РЕЗЕРВ"/>
      <sheetName val="Валдай"/>
      <sheetName val="Вер-Д"/>
      <sheetName val="Вол-Д"/>
      <sheetName val="Вол-О"/>
      <sheetName val="Вологда"/>
      <sheetName val="Пр"/>
      <sheetName val="Чер"/>
      <sheetName val="Упр"/>
      <sheetName val="СПБ"/>
      <sheetName val="Валдай 2013"/>
      <sheetName val="Вер-Д  2013"/>
      <sheetName val="Вол-Д 2013"/>
      <sheetName val="Вол-О 2013"/>
      <sheetName val="Вологда 2013"/>
      <sheetName val="М 2013"/>
      <sheetName val="Пр 2013"/>
      <sheetName val="Чер 2013"/>
      <sheetName val="Упр 2013"/>
      <sheetName val="СПБ 2013"/>
      <sheetName val="Валдай 2014"/>
      <sheetName val="Вер-Д 2014"/>
      <sheetName val="Вол-Д 2014"/>
      <sheetName val="Вол-О 2014"/>
      <sheetName val="Вологда 2014"/>
      <sheetName val="М 2014"/>
      <sheetName val="Пр 2014"/>
      <sheetName val="Чер 2014"/>
      <sheetName val="Упр 2014"/>
      <sheetName val="СПБ 2014"/>
      <sheetName val="Валдай 2015"/>
      <sheetName val="Вер-Д 2015"/>
      <sheetName val="Вол-Д 2015"/>
      <sheetName val="Вол-О 2015"/>
      <sheetName val="Вологда 2015"/>
      <sheetName val="М 2015"/>
      <sheetName val="Пр 2015"/>
      <sheetName val="Чер 2015"/>
      <sheetName val="Упр 2015"/>
      <sheetName val="СПБ 2015"/>
      <sheetName val="РЕЗЕРВ (c эрками)"/>
      <sheetName val="Вал"/>
      <sheetName val="Верх"/>
      <sheetName val="Дон"/>
      <sheetName val="Окс"/>
      <sheetName val="Вол"/>
      <sheetName val="М"/>
      <sheetName val="Приокское"/>
      <sheetName val="Черн"/>
      <sheetName val="СПБ "/>
      <sheetName val="диапазоны"/>
      <sheetName val="REESTR"/>
      <sheetName val="реализация_СВОД2"/>
      <sheetName val="реализация_нерег2"/>
      <sheetName val="реализация_рег2"/>
      <sheetName val="расчет_смешанного_тарифа2"/>
      <sheetName val="товарка_население2"/>
      <sheetName val="товарка_исх2"/>
      <sheetName val="смешанный_тариф_рег2"/>
      <sheetName val="товарка_рег2"/>
      <sheetName val="смешанный_тариф_нерег2"/>
      <sheetName val="товарка_нерег2"/>
      <sheetName val="смешанный_тариф_итого2"/>
      <sheetName val="товарка_итого2"/>
      <sheetName val="1_1_1_1_(товарка_исх_)2"/>
      <sheetName val="1_1_1_1_(товарка_рег)2"/>
      <sheetName val="1_1_1_1_(товарка_нерег)2"/>
      <sheetName val="1_1_1_1_(товарка_итого)2"/>
      <sheetName val="1_1_1_1_(товарка_горсети_исх_)2"/>
      <sheetName val="1_1_1_1_(товарка_горсети_рег)2"/>
      <sheetName val="1_1_1_1_(товарка_горсети_нерег2"/>
      <sheetName val="1_1_1_1_(товарка_горсети_итого2"/>
      <sheetName val="товарка_отрасли2"/>
      <sheetName val="товарка_группы2"/>
      <sheetName val="товарка_горсети2"/>
      <sheetName val="Анализ_по_товарке2"/>
      <sheetName val="Анализ_по_товарке_(ОПП)2"/>
      <sheetName val="Анализ_по_реализации2"/>
      <sheetName val="товарка_факт_по_рег__тарифу2"/>
      <sheetName val="Анализ_товарки_по_рег__тарифу2"/>
      <sheetName val="Анализ_товарки_ОПП_рег__тарифу2"/>
      <sheetName val="P2_12"/>
      <sheetName val="Мониторинг__22"/>
      <sheetName val="шаблон_для_R32"/>
      <sheetName val="группы_итого_1с2"/>
      <sheetName val="группы_рег_2"/>
      <sheetName val="группы_нерег_2"/>
      <sheetName val="группы_перерасчет_рег_2"/>
      <sheetName val="группы_перерасчет_нерег_2"/>
      <sheetName val="группы_итого_проверка2"/>
      <sheetName val="Бюджет_2010_ожид_2"/>
      <sheetName val="Форма_20_(1)2"/>
      <sheetName val="Форма_20_(2)2"/>
      <sheetName val="Форма_20_(3)2"/>
      <sheetName val="Форма_20_(4)2"/>
      <sheetName val="Форма_20_(5)2"/>
      <sheetName val="18_22"/>
      <sheetName val="17_12"/>
      <sheetName val="2_32"/>
      <sheetName val="Ген__не_уч__ОРЭМ2"/>
      <sheetName val="21_32"/>
      <sheetName val="анализ_502"/>
      <sheetName val="анализ_512"/>
      <sheetName val="анализ_572"/>
      <sheetName val="анализ_622"/>
      <sheetName val="расшифровка_622"/>
      <sheetName val="76_5,512"/>
      <sheetName val="91_2,512"/>
      <sheetName val="расх__из_приб__фев_20102"/>
      <sheetName val="инвест_прогр2"/>
      <sheetName val="сч_60_услуги_СЭ2"/>
      <sheetName val="БР_продажа_2"/>
      <sheetName val="КЗ_60_12"/>
      <sheetName val="КЗ_76_52"/>
      <sheetName val="авансы_выданные_60_22"/>
      <sheetName val="_анализ__702"/>
      <sheetName val="68_1_ПОДОХОДНЫЙ2"/>
      <sheetName val="68_2_НДС2"/>
      <sheetName val="68_4_налог_на_ПРИБЫЛЬ2"/>
      <sheetName val="68_4_1__платежи_в_бюджет2"/>
      <sheetName val="68_4_2_начисление__налога_ПРИБ2"/>
      <sheetName val="68_8_ИМУЩЕСТВО2"/>
      <sheetName val="68_10_ОКР_СРЕДА2"/>
      <sheetName val="68_11_ТРАНСПОРТ2"/>
      <sheetName val="68_12_ЗЕМЛЯ2"/>
      <sheetName val="68_14_ГОСПОШЛИНА2"/>
      <sheetName val="Анализ_972"/>
      <sheetName val="69_1_СОЦ_СТРАХ2"/>
      <sheetName val="69_2_ПФ2"/>
      <sheetName val="69_3_МЕД_СТРАХ_2"/>
      <sheetName val="69_11_ТРАВМАТИЗМ2"/>
      <sheetName val="58_1_АКЦИИ_СГЭС2"/>
      <sheetName val="58_2_ВЕКСЕЛЯ2"/>
      <sheetName val="58_3_ЗАЙМЫ2"/>
      <sheetName val="58_2_91_1_ВЕКСЕЛЯ2"/>
      <sheetName val="91_2_58_2_ВЕКСЕЛЯ2"/>
      <sheetName val="анализ_сч_752"/>
      <sheetName val="план_счетов2"/>
      <sheetName val="Лист1_(2)2"/>
      <sheetName val="Электроэн_4кв2"/>
      <sheetName val="Вода_4кв2"/>
      <sheetName val="Тепло_4кв2"/>
      <sheetName val="ДПН_внутр2"/>
      <sheetName val="ДПН_АРМ2"/>
      <sheetName val="P2_21"/>
      <sheetName val="14б_ДПН_отчет1"/>
      <sheetName val="16а_Сводный_анализ1"/>
      <sheetName val="Таб1_11"/>
      <sheetName val="ПС_110_кВ_№13_А1"/>
      <sheetName val="Ф-1_(для_АО-энерго)1"/>
      <sheetName val="Ф-2_(для_АО-энерго)1"/>
      <sheetName val="Расчёт_НВВ_по_RAB1"/>
      <sheetName val="СВОД_БДДС1"/>
      <sheetName val="2__Баланс1"/>
      <sheetName val="3__БДДС1"/>
      <sheetName val="Бюджет_15_поквартально_1"/>
      <sheetName val="Бюджет_01_151"/>
      <sheetName val="ПФ_01_151"/>
      <sheetName val="ПД_01_151"/>
      <sheetName val="Бюджет_02_151"/>
      <sheetName val="ПФ_02_151"/>
      <sheetName val="ПД_02_151"/>
      <sheetName val="Бюджет_03_151"/>
      <sheetName val="ПФ_03_151"/>
      <sheetName val="ПД_03_151"/>
      <sheetName val="Бюджет_1кв__151"/>
      <sheetName val="ПФ_1кв__151"/>
      <sheetName val="ПД_1кв__151"/>
      <sheetName val="Бюджет_04_151"/>
      <sheetName val="ПФ_04_151"/>
      <sheetName val="ПД_04_151"/>
      <sheetName val="Бюджет_05_151"/>
      <sheetName val="ПФ_05_151"/>
      <sheetName val="ПД_05_151"/>
      <sheetName val="Бюджет_06_151"/>
      <sheetName val="ПФ_06_151"/>
      <sheetName val="ПД_06_151"/>
      <sheetName val="Бюджет_2кв__151"/>
      <sheetName val="ПФ_2кв__151"/>
      <sheetName val="ПД_2кв__151"/>
      <sheetName val="Бюджет_6мес__151"/>
      <sheetName val="ПФ_6мес__151"/>
      <sheetName val="ТюмТПО_1"/>
      <sheetName val="ЮжТПО_1"/>
      <sheetName val="ПС_-_Действующие1"/>
      <sheetName val="ПД_6мес__151"/>
      <sheetName val="Бюджет_07_151"/>
      <sheetName val="ПФ_07_151"/>
      <sheetName val="ПД_07_151"/>
      <sheetName val="Бюджет_08_151"/>
      <sheetName val="ПФ_08_151"/>
      <sheetName val="ПД_08_151"/>
      <sheetName val="Бюджет_09_151"/>
      <sheetName val="ПФ_09_151"/>
      <sheetName val="ПД_09_151"/>
      <sheetName val="Бюджет_3кв__151"/>
      <sheetName val="Список_дефектов1"/>
      <sheetName val="ПФ_3кв__151"/>
      <sheetName val="ПД_3кв__151"/>
      <sheetName val="Бюджет_9мес__151"/>
      <sheetName val="ПФ_9мес__151"/>
      <sheetName val="ПД_9мес__151"/>
      <sheetName val="Бюджет_10_151"/>
      <sheetName val="ПФ_10_151"/>
      <sheetName val="ПД_10_151"/>
      <sheetName val="Бюджет_11_151"/>
      <sheetName val="ПФ_11_151"/>
      <sheetName val="ПД_11_151"/>
      <sheetName val="Бюджет_12_151"/>
      <sheetName val="ПФ_12_151"/>
      <sheetName val="ПД_12_151"/>
      <sheetName val="Бюджет_4кв__151"/>
      <sheetName val="ПФ_4кв__151"/>
      <sheetName val="ПД_4кв__151"/>
      <sheetName val="ТО_20161"/>
      <sheetName val="прил_1"/>
      <sheetName val="Производство_электроэнергии1"/>
      <sheetName val="Т19_11"/>
      <sheetName val="Сценарные_условия1"/>
      <sheetName val="Содержание_-_расшир_формат1"/>
      <sheetName val="Содержание_-_агрегир__формат1"/>
      <sheetName val="1_Общие_сведения1"/>
      <sheetName val="2_Оценочные_показатели1"/>
      <sheetName val="9_ОФР1"/>
      <sheetName val="3_Программа_реализации1"/>
      <sheetName val="4_Баланс_эм1"/>
      <sheetName val="5_Производство1"/>
      <sheetName val="6_Топливо1"/>
      <sheetName val="7_ИПР1"/>
      <sheetName val="8_Затраты_на_персонал1"/>
      <sheetName val="10_1__Смета_затрат1"/>
      <sheetName val="10_2__Прочие_ДиР1"/>
      <sheetName val="11__БДР1"/>
      <sheetName val="12_БДДС_(ДПН)1"/>
      <sheetName val="13_Прогнозный_баланс1"/>
      <sheetName val="14_ПУЭ1"/>
      <sheetName val="ОР_новая_методика_21"/>
      <sheetName val="ОР_новая_методика1"/>
      <sheetName val="_O???1"/>
      <sheetName val="_O1"/>
      <sheetName val="_O?1"/>
      <sheetName val="1_3_Расчет_НВВ_по_RAB_(2022)1"/>
      <sheetName val="1_7_Баланс_ээ1"/>
      <sheetName val="Main"/>
      <sheetName val="Face"/>
      <sheetName val="Info"/>
      <sheetName val="Grouplist"/>
      <sheetName val="Variables"/>
      <sheetName val="GLC_ratios_Jun"/>
      <sheetName val="Исходные данные"/>
      <sheetName val="TECHSHEET"/>
      <sheetName val="ras bs"/>
      <sheetName val="Dimensions"/>
      <sheetName val="O___"/>
      <sheetName val="O_"/>
      <sheetName val="_O___"/>
      <sheetName val="_O_"/>
      <sheetName val="0_1"/>
      <sheetName val="24_1"/>
      <sheetName val="6_1"/>
      <sheetName val="Page_2"/>
      <sheetName val="на_1_тут"/>
      <sheetName val="ESTI_"/>
      <sheetName val="main_gate_house"/>
      <sheetName val="см-2_шатурс_сети__проект_работы"/>
      <sheetName val="Служебный_лист"/>
      <sheetName val="Расчет_НВВ_общий"/>
      <sheetName val="group_structure"/>
      <sheetName val="income_statement"/>
      <sheetName val="Форма_сетевой_график_ЭРСБ"/>
      <sheetName val="B_inputs"/>
      <sheetName val="тариф_Бежецк"/>
      <sheetName val="Лимит_по_протоколам"/>
      <sheetName val="Для_лимита_2016"/>
      <sheetName val="Для_лимита_2016_(И)"/>
      <sheetName val="Валдай_2013"/>
      <sheetName val="Вер-Д__2013"/>
      <sheetName val="Вол-Д_2013"/>
      <sheetName val="Вол-О_2013"/>
      <sheetName val="Вологда_2013"/>
      <sheetName val="М_2013"/>
      <sheetName val="Пр_2013"/>
      <sheetName val="Чер_2013"/>
      <sheetName val="Упр_2013"/>
      <sheetName val="СПБ_2013"/>
      <sheetName val="Валдай_2014"/>
      <sheetName val="Вер-Д_2014"/>
      <sheetName val="Вол-Д_2014"/>
      <sheetName val="Вол-О_2014"/>
      <sheetName val="Вологда_2014"/>
      <sheetName val="М_2014"/>
      <sheetName val="Пр_2014"/>
      <sheetName val="Чер_2014"/>
      <sheetName val="Упр_2014"/>
      <sheetName val="СПБ_2014"/>
      <sheetName val="Валдай_2015"/>
      <sheetName val="Вер-Д_2015"/>
      <sheetName val="Вол-Д_2015"/>
      <sheetName val="Вол-О_2015"/>
      <sheetName val="Вологда_2015"/>
      <sheetName val="М_2015"/>
      <sheetName val="Пр_2015"/>
      <sheetName val="Чер_2015"/>
      <sheetName val="Упр_2015"/>
      <sheetName val="СПБ_2015"/>
      <sheetName val="РЕЗЕРВ_(c_эрками)"/>
      <sheetName val="СПБ_"/>
      <sheetName val="ФЭ модель"/>
      <sheetName val="1(труд-вс)"/>
      <sheetName val="1(труд-во)"/>
      <sheetName val="ф-1"/>
      <sheetName val="Бюджет_6㒴ʍꌠ੘쎨ૡ_x0000_"/>
      <sheetName val="Бюджет_6㒴ʍꌠ੘璘ዥ_x0000_"/>
      <sheetName val="2008 -2010"/>
      <sheetName val="Калькуляция кв"/>
      <sheetName val="Лист5"/>
      <sheetName val="Бюджет_6㒴ʍꌠ੘쎨ૡ"/>
      <sheetName val="Бюджет_6㒴ʍꌠ੘璘ዥ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  <cell r="O11" t="str">
            <v>-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str">
            <v>-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  <cell r="O8" t="str">
            <v>Добавить столбцы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  <cell r="O11" t="str">
            <v>-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H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str">
            <v>-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H30">
            <v>0</v>
          </cell>
          <cell r="I30">
            <v>0</v>
          </cell>
          <cell r="N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</row>
        <row r="36">
          <cell r="H36">
            <v>0</v>
          </cell>
          <cell r="N36">
            <v>0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B37" t="str">
            <v>ТЭС-1</v>
          </cell>
          <cell r="E37">
            <v>0</v>
          </cell>
          <cell r="F37" t="str">
            <v>-</v>
          </cell>
          <cell r="G37">
            <v>0</v>
          </cell>
          <cell r="J37">
            <v>0</v>
          </cell>
          <cell r="K37" t="e">
            <v>#NAME?</v>
          </cell>
          <cell r="L37" t="str">
            <v>-</v>
          </cell>
          <cell r="M37">
            <v>0</v>
          </cell>
        </row>
        <row r="41"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</row>
        <row r="42">
          <cell r="E42">
            <v>0</v>
          </cell>
          <cell r="F42">
            <v>0</v>
          </cell>
          <cell r="K42" t="e">
            <v>#NAME?</v>
          </cell>
          <cell r="L42" t="e">
            <v>#NAME?</v>
          </cell>
          <cell r="M42" t="e">
            <v>#NAME?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O8" t="str">
            <v>Добавить столбцы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  <cell r="Q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  <cell r="O11" t="str">
            <v>-</v>
          </cell>
          <cell r="Q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  <cell r="Q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  <cell r="Q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H19">
            <v>0</v>
          </cell>
          <cell r="L19" t="e">
            <v>#NAME?</v>
          </cell>
          <cell r="M19" t="e">
            <v>#NAME?</v>
          </cell>
          <cell r="N19">
            <v>0</v>
          </cell>
          <cell r="Q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Q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  <cell r="O26" t="str">
            <v>-</v>
          </cell>
          <cell r="Q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H30">
            <v>0</v>
          </cell>
          <cell r="I30">
            <v>0</v>
          </cell>
          <cell r="N30">
            <v>0</v>
          </cell>
          <cell r="Q30">
            <v>0</v>
          </cell>
        </row>
        <row r="31"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Q31">
            <v>0</v>
          </cell>
        </row>
        <row r="32">
          <cell r="H32">
            <v>0</v>
          </cell>
          <cell r="L32" t="e">
            <v>#NAME?</v>
          </cell>
          <cell r="M32" t="e">
            <v>#NAME?</v>
          </cell>
          <cell r="N32">
            <v>0</v>
          </cell>
          <cell r="Q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  <cell r="Q35">
            <v>0</v>
          </cell>
        </row>
        <row r="36">
          <cell r="H36">
            <v>0</v>
          </cell>
          <cell r="N36">
            <v>0</v>
          </cell>
          <cell r="Q36">
            <v>0</v>
          </cell>
        </row>
        <row r="37">
          <cell r="B37" t="str">
            <v>ТЭС-1</v>
          </cell>
          <cell r="G37">
            <v>0</v>
          </cell>
          <cell r="I37">
            <v>0</v>
          </cell>
          <cell r="J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  <cell r="Q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  <cell r="Q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  <cell r="Q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  <cell r="Q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</row>
        <row r="19">
          <cell r="H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  <cell r="Q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  <cell r="Q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  <cell r="Q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Q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  <cell r="Q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Q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H30">
            <v>0</v>
          </cell>
          <cell r="I30">
            <v>0</v>
          </cell>
          <cell r="K30">
            <v>0</v>
          </cell>
          <cell r="N30">
            <v>0</v>
          </cell>
          <cell r="Q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K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Q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H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  <cell r="Q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K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  <cell r="P35">
            <v>0</v>
          </cell>
          <cell r="Q35">
            <v>0</v>
          </cell>
        </row>
        <row r="36">
          <cell r="C36">
            <v>0</v>
          </cell>
          <cell r="D36">
            <v>0</v>
          </cell>
          <cell r="H36">
            <v>0</v>
          </cell>
          <cell r="K36">
            <v>0</v>
          </cell>
          <cell r="N36">
            <v>0</v>
          </cell>
          <cell r="Q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P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  <cell r="L22" t="e">
            <v>#NAME?</v>
          </cell>
          <cell r="M22" t="e">
            <v>#NAME?</v>
          </cell>
        </row>
        <row r="23">
          <cell r="F23">
            <v>0</v>
          </cell>
          <cell r="I23">
            <v>0</v>
          </cell>
          <cell r="L23" t="e">
            <v>#NAME?</v>
          </cell>
          <cell r="M23" t="e">
            <v>#NAME?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39">
          <cell r="F39">
            <v>0</v>
          </cell>
          <cell r="I39">
            <v>0</v>
          </cell>
        </row>
        <row r="42">
          <cell r="F42">
            <v>0</v>
          </cell>
          <cell r="I42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48">
          <cell r="F48">
            <v>0</v>
          </cell>
          <cell r="I48">
            <v>0</v>
          </cell>
        </row>
        <row r="49"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55">
          <cell r="F55">
            <v>0</v>
          </cell>
          <cell r="G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I57">
            <v>0</v>
          </cell>
        </row>
        <row r="59">
          <cell r="F59">
            <v>0</v>
          </cell>
          <cell r="G59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8">
          <cell r="D8">
            <v>15739</v>
          </cell>
        </row>
      </sheetData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5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8">
          <cell r="D8">
            <v>15739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>
        <row r="2">
          <cell r="A2">
            <v>0</v>
          </cell>
        </row>
      </sheetData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 refreshError="1"/>
      <sheetData sheetId="324" refreshError="1"/>
      <sheetData sheetId="325" refreshError="1"/>
      <sheetData sheetId="326">
        <row r="2">
          <cell r="A2">
            <v>0</v>
          </cell>
        </row>
      </sheetData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>
        <row r="2">
          <cell r="A2">
            <v>0</v>
          </cell>
        </row>
      </sheetData>
      <sheetData sheetId="337">
        <row r="2">
          <cell r="A2">
            <v>0</v>
          </cell>
        </row>
      </sheetData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>
        <row r="2">
          <cell r="A2">
            <v>0</v>
          </cell>
        </row>
      </sheetData>
      <sheetData sheetId="419">
        <row r="2">
          <cell r="A2">
            <v>0</v>
          </cell>
        </row>
      </sheetData>
      <sheetData sheetId="420">
        <row r="2">
          <cell r="A2">
            <v>0</v>
          </cell>
        </row>
      </sheetData>
      <sheetData sheetId="421">
        <row r="2">
          <cell r="A2">
            <v>0</v>
          </cell>
        </row>
      </sheetData>
      <sheetData sheetId="422">
        <row r="2">
          <cell r="A2">
            <v>0</v>
          </cell>
        </row>
      </sheetData>
      <sheetData sheetId="423">
        <row r="2">
          <cell r="A2">
            <v>0</v>
          </cell>
        </row>
      </sheetData>
      <sheetData sheetId="424">
        <row r="2">
          <cell r="A2">
            <v>0</v>
          </cell>
        </row>
      </sheetData>
      <sheetData sheetId="425">
        <row r="2">
          <cell r="A2">
            <v>0</v>
          </cell>
        </row>
      </sheetData>
      <sheetData sheetId="426">
        <row r="2">
          <cell r="A2">
            <v>0</v>
          </cell>
        </row>
      </sheetData>
      <sheetData sheetId="427">
        <row r="2">
          <cell r="A2">
            <v>0</v>
          </cell>
        </row>
      </sheetData>
      <sheetData sheetId="428">
        <row r="2">
          <cell r="A2">
            <v>0</v>
          </cell>
        </row>
      </sheetData>
      <sheetData sheetId="429">
        <row r="2">
          <cell r="A2">
            <v>0</v>
          </cell>
        </row>
      </sheetData>
      <sheetData sheetId="430">
        <row r="2">
          <cell r="A2">
            <v>0</v>
          </cell>
        </row>
      </sheetData>
      <sheetData sheetId="431">
        <row r="2">
          <cell r="A2">
            <v>0</v>
          </cell>
        </row>
      </sheetData>
      <sheetData sheetId="432">
        <row r="2">
          <cell r="A2">
            <v>0</v>
          </cell>
        </row>
      </sheetData>
      <sheetData sheetId="433">
        <row r="2">
          <cell r="A2">
            <v>0</v>
          </cell>
        </row>
      </sheetData>
      <sheetData sheetId="434">
        <row r="2">
          <cell r="A2">
            <v>0</v>
          </cell>
        </row>
      </sheetData>
      <sheetData sheetId="435">
        <row r="2">
          <cell r="A2">
            <v>0</v>
          </cell>
        </row>
      </sheetData>
      <sheetData sheetId="436">
        <row r="2">
          <cell r="A2">
            <v>0</v>
          </cell>
        </row>
      </sheetData>
      <sheetData sheetId="437">
        <row r="2">
          <cell r="A2">
            <v>0</v>
          </cell>
        </row>
      </sheetData>
      <sheetData sheetId="438">
        <row r="2">
          <cell r="A2">
            <v>0</v>
          </cell>
        </row>
      </sheetData>
      <sheetData sheetId="439">
        <row r="2">
          <cell r="A2">
            <v>0</v>
          </cell>
        </row>
      </sheetData>
      <sheetData sheetId="440">
        <row r="2">
          <cell r="A2">
            <v>0</v>
          </cell>
        </row>
      </sheetData>
      <sheetData sheetId="441">
        <row r="2">
          <cell r="A2">
            <v>0</v>
          </cell>
        </row>
      </sheetData>
      <sheetData sheetId="442">
        <row r="2">
          <cell r="A2">
            <v>0</v>
          </cell>
        </row>
      </sheetData>
      <sheetData sheetId="443">
        <row r="2">
          <cell r="A2">
            <v>0</v>
          </cell>
        </row>
      </sheetData>
      <sheetData sheetId="444">
        <row r="2">
          <cell r="A2">
            <v>0</v>
          </cell>
        </row>
      </sheetData>
      <sheetData sheetId="445">
        <row r="2">
          <cell r="A2">
            <v>0</v>
          </cell>
        </row>
      </sheetData>
      <sheetData sheetId="446">
        <row r="2">
          <cell r="A2">
            <v>0</v>
          </cell>
        </row>
      </sheetData>
      <sheetData sheetId="447">
        <row r="2">
          <cell r="A2">
            <v>0</v>
          </cell>
        </row>
      </sheetData>
      <sheetData sheetId="448">
        <row r="2">
          <cell r="A2">
            <v>0</v>
          </cell>
        </row>
      </sheetData>
      <sheetData sheetId="449">
        <row r="2">
          <cell r="A2">
            <v>0</v>
          </cell>
        </row>
      </sheetData>
      <sheetData sheetId="450">
        <row r="2">
          <cell r="A2">
            <v>0</v>
          </cell>
        </row>
      </sheetData>
      <sheetData sheetId="451">
        <row r="2">
          <cell r="A2">
            <v>0</v>
          </cell>
        </row>
      </sheetData>
      <sheetData sheetId="452">
        <row r="2">
          <cell r="A2">
            <v>0</v>
          </cell>
        </row>
      </sheetData>
      <sheetData sheetId="453">
        <row r="2">
          <cell r="A2">
            <v>0</v>
          </cell>
        </row>
      </sheetData>
      <sheetData sheetId="454">
        <row r="2">
          <cell r="A2">
            <v>0</v>
          </cell>
        </row>
      </sheetData>
      <sheetData sheetId="455">
        <row r="2">
          <cell r="A2">
            <v>0</v>
          </cell>
        </row>
      </sheetData>
      <sheetData sheetId="456">
        <row r="2">
          <cell r="A2">
            <v>0</v>
          </cell>
        </row>
      </sheetData>
      <sheetData sheetId="457">
        <row r="2">
          <cell r="A2">
            <v>0</v>
          </cell>
        </row>
      </sheetData>
      <sheetData sheetId="458">
        <row r="2">
          <cell r="A2">
            <v>0</v>
          </cell>
        </row>
      </sheetData>
      <sheetData sheetId="459">
        <row r="2">
          <cell r="A2">
            <v>0</v>
          </cell>
        </row>
      </sheetData>
      <sheetData sheetId="460">
        <row r="2">
          <cell r="A2">
            <v>0</v>
          </cell>
        </row>
      </sheetData>
      <sheetData sheetId="461">
        <row r="2">
          <cell r="A2">
            <v>0</v>
          </cell>
        </row>
      </sheetData>
      <sheetData sheetId="462">
        <row r="2">
          <cell r="A2">
            <v>0</v>
          </cell>
        </row>
      </sheetData>
      <sheetData sheetId="463">
        <row r="2">
          <cell r="A2">
            <v>0</v>
          </cell>
        </row>
      </sheetData>
      <sheetData sheetId="464">
        <row r="2">
          <cell r="A2">
            <v>0</v>
          </cell>
        </row>
      </sheetData>
      <sheetData sheetId="465">
        <row r="2">
          <cell r="A2">
            <v>0</v>
          </cell>
        </row>
      </sheetData>
      <sheetData sheetId="466">
        <row r="2">
          <cell r="A2" t="str">
            <v>ТЭС-1</v>
          </cell>
        </row>
      </sheetData>
      <sheetData sheetId="467">
        <row r="2">
          <cell r="A2">
            <v>0</v>
          </cell>
        </row>
      </sheetData>
      <sheetData sheetId="468">
        <row r="2">
          <cell r="A2">
            <v>0</v>
          </cell>
        </row>
      </sheetData>
      <sheetData sheetId="469">
        <row r="2">
          <cell r="A2">
            <v>0</v>
          </cell>
        </row>
      </sheetData>
      <sheetData sheetId="470">
        <row r="2">
          <cell r="A2">
            <v>0</v>
          </cell>
        </row>
      </sheetData>
      <sheetData sheetId="471">
        <row r="2">
          <cell r="A2">
            <v>0</v>
          </cell>
        </row>
      </sheetData>
      <sheetData sheetId="472">
        <row r="2">
          <cell r="A2">
            <v>0</v>
          </cell>
        </row>
      </sheetData>
      <sheetData sheetId="473">
        <row r="2">
          <cell r="A2" t="str">
            <v>ТЭС-1</v>
          </cell>
        </row>
      </sheetData>
      <sheetData sheetId="474">
        <row r="2">
          <cell r="A2">
            <v>0</v>
          </cell>
        </row>
      </sheetData>
      <sheetData sheetId="475">
        <row r="2">
          <cell r="A2" t="str">
            <v>ТЭС-1</v>
          </cell>
        </row>
      </sheetData>
      <sheetData sheetId="476">
        <row r="2">
          <cell r="A2">
            <v>0</v>
          </cell>
        </row>
      </sheetData>
      <sheetData sheetId="477">
        <row r="2">
          <cell r="A2">
            <v>0</v>
          </cell>
        </row>
      </sheetData>
      <sheetData sheetId="478">
        <row r="2">
          <cell r="A2">
            <v>0</v>
          </cell>
        </row>
      </sheetData>
      <sheetData sheetId="479">
        <row r="2">
          <cell r="A2">
            <v>0</v>
          </cell>
        </row>
      </sheetData>
      <sheetData sheetId="480">
        <row r="2">
          <cell r="A2">
            <v>0</v>
          </cell>
        </row>
      </sheetData>
      <sheetData sheetId="481">
        <row r="2">
          <cell r="A2">
            <v>0</v>
          </cell>
        </row>
      </sheetData>
      <sheetData sheetId="482">
        <row r="2">
          <cell r="A2">
            <v>0</v>
          </cell>
        </row>
      </sheetData>
      <sheetData sheetId="483">
        <row r="2">
          <cell r="A2">
            <v>0</v>
          </cell>
        </row>
      </sheetData>
      <sheetData sheetId="484">
        <row r="2">
          <cell r="A2">
            <v>0</v>
          </cell>
        </row>
      </sheetData>
      <sheetData sheetId="485">
        <row r="2">
          <cell r="A2">
            <v>0</v>
          </cell>
        </row>
      </sheetData>
      <sheetData sheetId="486">
        <row r="2">
          <cell r="A2">
            <v>0</v>
          </cell>
        </row>
      </sheetData>
      <sheetData sheetId="487">
        <row r="2">
          <cell r="A2">
            <v>0</v>
          </cell>
        </row>
      </sheetData>
      <sheetData sheetId="488">
        <row r="2">
          <cell r="A2">
            <v>0</v>
          </cell>
        </row>
      </sheetData>
      <sheetData sheetId="489">
        <row r="2">
          <cell r="A2" t="str">
            <v>ТЭС-1</v>
          </cell>
        </row>
      </sheetData>
      <sheetData sheetId="490">
        <row r="2">
          <cell r="A2">
            <v>0</v>
          </cell>
        </row>
      </sheetData>
      <sheetData sheetId="491">
        <row r="2">
          <cell r="A2">
            <v>0</v>
          </cell>
        </row>
      </sheetData>
      <sheetData sheetId="492">
        <row r="2">
          <cell r="A2">
            <v>0</v>
          </cell>
        </row>
      </sheetData>
      <sheetData sheetId="493">
        <row r="2">
          <cell r="A2">
            <v>0</v>
          </cell>
        </row>
      </sheetData>
      <sheetData sheetId="494">
        <row r="2">
          <cell r="A2">
            <v>0</v>
          </cell>
        </row>
      </sheetData>
      <sheetData sheetId="495">
        <row r="2">
          <cell r="A2">
            <v>0</v>
          </cell>
        </row>
      </sheetData>
      <sheetData sheetId="496">
        <row r="2">
          <cell r="A2">
            <v>0</v>
          </cell>
        </row>
      </sheetData>
      <sheetData sheetId="497">
        <row r="2">
          <cell r="A2">
            <v>0</v>
          </cell>
        </row>
      </sheetData>
      <sheetData sheetId="498">
        <row r="2">
          <cell r="A2">
            <v>0</v>
          </cell>
        </row>
      </sheetData>
      <sheetData sheetId="499">
        <row r="2">
          <cell r="A2">
            <v>0</v>
          </cell>
        </row>
      </sheetData>
      <sheetData sheetId="500">
        <row r="2">
          <cell r="A2">
            <v>0</v>
          </cell>
        </row>
      </sheetData>
      <sheetData sheetId="501">
        <row r="2">
          <cell r="A2">
            <v>0</v>
          </cell>
        </row>
      </sheetData>
      <sheetData sheetId="502">
        <row r="2">
          <cell r="A2">
            <v>0</v>
          </cell>
        </row>
      </sheetData>
      <sheetData sheetId="503">
        <row r="2">
          <cell r="A2">
            <v>0</v>
          </cell>
        </row>
      </sheetData>
      <sheetData sheetId="504">
        <row r="2">
          <cell r="A2">
            <v>0</v>
          </cell>
        </row>
      </sheetData>
      <sheetData sheetId="505">
        <row r="2">
          <cell r="A2">
            <v>0</v>
          </cell>
        </row>
      </sheetData>
      <sheetData sheetId="506">
        <row r="2">
          <cell r="A2">
            <v>0</v>
          </cell>
        </row>
      </sheetData>
      <sheetData sheetId="507">
        <row r="2">
          <cell r="A2">
            <v>0</v>
          </cell>
        </row>
      </sheetData>
      <sheetData sheetId="508">
        <row r="2">
          <cell r="A2">
            <v>0</v>
          </cell>
        </row>
      </sheetData>
      <sheetData sheetId="509">
        <row r="2">
          <cell r="A2">
            <v>0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>
            <v>0</v>
          </cell>
        </row>
      </sheetData>
      <sheetData sheetId="519">
        <row r="2">
          <cell r="A2" t="str">
            <v>ТЭС-1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>
        <row r="2">
          <cell r="A2">
            <v>0</v>
          </cell>
        </row>
      </sheetData>
      <sheetData sheetId="529">
        <row r="2">
          <cell r="A2">
            <v>0</v>
          </cell>
        </row>
      </sheetData>
      <sheetData sheetId="530">
        <row r="2">
          <cell r="A2">
            <v>0</v>
          </cell>
        </row>
      </sheetData>
      <sheetData sheetId="531">
        <row r="2">
          <cell r="A2">
            <v>0</v>
          </cell>
        </row>
      </sheetData>
      <sheetData sheetId="532">
        <row r="2">
          <cell r="A2">
            <v>0</v>
          </cell>
        </row>
      </sheetData>
      <sheetData sheetId="533">
        <row r="2">
          <cell r="A2">
            <v>0</v>
          </cell>
        </row>
      </sheetData>
      <sheetData sheetId="534">
        <row r="2">
          <cell r="A2">
            <v>0</v>
          </cell>
        </row>
      </sheetData>
      <sheetData sheetId="535">
        <row r="2">
          <cell r="A2">
            <v>0</v>
          </cell>
        </row>
      </sheetData>
      <sheetData sheetId="536">
        <row r="2">
          <cell r="A2">
            <v>0</v>
          </cell>
        </row>
      </sheetData>
      <sheetData sheetId="537">
        <row r="2">
          <cell r="A2">
            <v>0</v>
          </cell>
        </row>
      </sheetData>
      <sheetData sheetId="538">
        <row r="2">
          <cell r="A2">
            <v>0</v>
          </cell>
        </row>
      </sheetData>
      <sheetData sheetId="539">
        <row r="2">
          <cell r="A2">
            <v>0</v>
          </cell>
        </row>
      </sheetData>
      <sheetData sheetId="540">
        <row r="2">
          <cell r="A2">
            <v>0</v>
          </cell>
        </row>
      </sheetData>
      <sheetData sheetId="541">
        <row r="2">
          <cell r="A2">
            <v>0</v>
          </cell>
        </row>
      </sheetData>
      <sheetData sheetId="542">
        <row r="2">
          <cell r="A2">
            <v>0</v>
          </cell>
        </row>
      </sheetData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>
        <row r="2">
          <cell r="A2">
            <v>0</v>
          </cell>
        </row>
      </sheetData>
      <sheetData sheetId="557">
        <row r="2">
          <cell r="A2">
            <v>0</v>
          </cell>
        </row>
      </sheetData>
      <sheetData sheetId="558">
        <row r="2">
          <cell r="A2">
            <v>0</v>
          </cell>
        </row>
      </sheetData>
      <sheetData sheetId="559">
        <row r="2">
          <cell r="A2">
            <v>0</v>
          </cell>
        </row>
      </sheetData>
      <sheetData sheetId="560">
        <row r="2">
          <cell r="A2">
            <v>0</v>
          </cell>
        </row>
      </sheetData>
      <sheetData sheetId="561">
        <row r="2">
          <cell r="A2">
            <v>0</v>
          </cell>
        </row>
      </sheetData>
      <sheetData sheetId="562">
        <row r="2">
          <cell r="A2">
            <v>0</v>
          </cell>
        </row>
      </sheetData>
      <sheetData sheetId="563">
        <row r="2">
          <cell r="A2">
            <v>0</v>
          </cell>
        </row>
      </sheetData>
      <sheetData sheetId="564">
        <row r="2">
          <cell r="A2">
            <v>0</v>
          </cell>
        </row>
      </sheetData>
      <sheetData sheetId="565">
        <row r="2">
          <cell r="A2">
            <v>0</v>
          </cell>
        </row>
      </sheetData>
      <sheetData sheetId="566">
        <row r="2">
          <cell r="A2">
            <v>0</v>
          </cell>
        </row>
      </sheetData>
      <sheetData sheetId="567">
        <row r="2">
          <cell r="A2">
            <v>0</v>
          </cell>
        </row>
      </sheetData>
      <sheetData sheetId="568">
        <row r="2">
          <cell r="A2">
            <v>0</v>
          </cell>
        </row>
      </sheetData>
      <sheetData sheetId="569">
        <row r="2">
          <cell r="A2">
            <v>0</v>
          </cell>
        </row>
      </sheetData>
      <sheetData sheetId="570">
        <row r="2">
          <cell r="A2">
            <v>0</v>
          </cell>
        </row>
      </sheetData>
      <sheetData sheetId="571">
        <row r="2">
          <cell r="A2">
            <v>0</v>
          </cell>
        </row>
      </sheetData>
      <sheetData sheetId="572">
        <row r="2">
          <cell r="A2">
            <v>0</v>
          </cell>
        </row>
      </sheetData>
      <sheetData sheetId="573">
        <row r="2">
          <cell r="A2">
            <v>0</v>
          </cell>
        </row>
      </sheetData>
      <sheetData sheetId="574">
        <row r="2">
          <cell r="A2">
            <v>0</v>
          </cell>
        </row>
      </sheetData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>
        <row r="2">
          <cell r="A2">
            <v>0</v>
          </cell>
        </row>
      </sheetData>
      <sheetData sheetId="606">
        <row r="2">
          <cell r="A2">
            <v>0</v>
          </cell>
        </row>
      </sheetData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/>
      <sheetData sheetId="673"/>
      <sheetData sheetId="674" refreshError="1"/>
      <sheetData sheetId="675" refreshError="1"/>
      <sheetData sheetId="676" refreshError="1"/>
      <sheetData sheetId="677" refreshError="1"/>
      <sheetData sheetId="678">
        <row r="2">
          <cell r="A2">
            <v>0</v>
          </cell>
        </row>
      </sheetData>
      <sheetData sheetId="679">
        <row r="2">
          <cell r="A2">
            <v>0</v>
          </cell>
        </row>
      </sheetData>
      <sheetData sheetId="680">
        <row r="2">
          <cell r="A2">
            <v>0</v>
          </cell>
        </row>
      </sheetData>
      <sheetData sheetId="681" refreshError="1"/>
      <sheetData sheetId="682">
        <row r="2">
          <cell r="A2">
            <v>0</v>
          </cell>
        </row>
      </sheetData>
      <sheetData sheetId="683">
        <row r="2">
          <cell r="A2">
            <v>0</v>
          </cell>
        </row>
      </sheetData>
      <sheetData sheetId="684">
        <row r="2">
          <cell r="A2">
            <v>0</v>
          </cell>
        </row>
      </sheetData>
      <sheetData sheetId="685">
        <row r="2">
          <cell r="A2">
            <v>0</v>
          </cell>
        </row>
      </sheetData>
      <sheetData sheetId="686">
        <row r="2">
          <cell r="A2">
            <v>0</v>
          </cell>
        </row>
      </sheetData>
      <sheetData sheetId="687">
        <row r="2">
          <cell r="A2">
            <v>0</v>
          </cell>
        </row>
      </sheetData>
      <sheetData sheetId="688">
        <row r="2">
          <cell r="A2">
            <v>0</v>
          </cell>
        </row>
      </sheetData>
      <sheetData sheetId="689">
        <row r="2">
          <cell r="A2">
            <v>0</v>
          </cell>
        </row>
      </sheetData>
      <sheetData sheetId="690">
        <row r="2">
          <cell r="A2">
            <v>0</v>
          </cell>
        </row>
      </sheetData>
      <sheetData sheetId="691">
        <row r="2">
          <cell r="A2">
            <v>0</v>
          </cell>
        </row>
      </sheetData>
      <sheetData sheetId="692">
        <row r="2">
          <cell r="A2">
            <v>0</v>
          </cell>
        </row>
      </sheetData>
      <sheetData sheetId="693">
        <row r="2">
          <cell r="A2">
            <v>0</v>
          </cell>
        </row>
      </sheetData>
      <sheetData sheetId="694">
        <row r="2">
          <cell r="A2">
            <v>0</v>
          </cell>
        </row>
      </sheetData>
      <sheetData sheetId="695">
        <row r="2">
          <cell r="A2">
            <v>0</v>
          </cell>
        </row>
      </sheetData>
      <sheetData sheetId="696">
        <row r="2">
          <cell r="A2">
            <v>0</v>
          </cell>
        </row>
      </sheetData>
      <sheetData sheetId="697">
        <row r="2">
          <cell r="A2">
            <v>0</v>
          </cell>
        </row>
      </sheetData>
      <sheetData sheetId="698">
        <row r="2">
          <cell r="A2">
            <v>0</v>
          </cell>
        </row>
      </sheetData>
      <sheetData sheetId="699">
        <row r="2">
          <cell r="A2">
            <v>0</v>
          </cell>
        </row>
      </sheetData>
      <sheetData sheetId="700">
        <row r="2">
          <cell r="A2">
            <v>0</v>
          </cell>
        </row>
      </sheetData>
      <sheetData sheetId="701">
        <row r="2">
          <cell r="A2">
            <v>0</v>
          </cell>
        </row>
      </sheetData>
      <sheetData sheetId="702">
        <row r="2">
          <cell r="A2">
            <v>0</v>
          </cell>
        </row>
      </sheetData>
      <sheetData sheetId="703">
        <row r="2">
          <cell r="A2">
            <v>0</v>
          </cell>
        </row>
      </sheetData>
      <sheetData sheetId="704">
        <row r="2">
          <cell r="A2">
            <v>0</v>
          </cell>
        </row>
      </sheetData>
      <sheetData sheetId="705">
        <row r="2">
          <cell r="A2">
            <v>0</v>
          </cell>
        </row>
      </sheetData>
      <sheetData sheetId="706">
        <row r="2">
          <cell r="A2">
            <v>0</v>
          </cell>
        </row>
      </sheetData>
      <sheetData sheetId="707">
        <row r="2">
          <cell r="A2">
            <v>0</v>
          </cell>
        </row>
      </sheetData>
      <sheetData sheetId="708">
        <row r="2">
          <cell r="A2">
            <v>0</v>
          </cell>
        </row>
      </sheetData>
      <sheetData sheetId="709">
        <row r="2">
          <cell r="A2">
            <v>0</v>
          </cell>
        </row>
      </sheetData>
      <sheetData sheetId="710">
        <row r="2">
          <cell r="A2">
            <v>0</v>
          </cell>
        </row>
      </sheetData>
      <sheetData sheetId="711">
        <row r="2">
          <cell r="A2">
            <v>0</v>
          </cell>
        </row>
      </sheetData>
      <sheetData sheetId="712">
        <row r="2">
          <cell r="A2">
            <v>0</v>
          </cell>
        </row>
      </sheetData>
      <sheetData sheetId="713">
        <row r="2">
          <cell r="A2">
            <v>0</v>
          </cell>
        </row>
      </sheetData>
      <sheetData sheetId="714">
        <row r="2">
          <cell r="A2">
            <v>0</v>
          </cell>
        </row>
      </sheetData>
      <sheetData sheetId="715">
        <row r="2">
          <cell r="A2">
            <v>0</v>
          </cell>
        </row>
      </sheetData>
      <sheetData sheetId="716">
        <row r="2">
          <cell r="A2">
            <v>0</v>
          </cell>
        </row>
      </sheetData>
      <sheetData sheetId="717">
        <row r="2">
          <cell r="A2">
            <v>0</v>
          </cell>
        </row>
      </sheetData>
      <sheetData sheetId="718">
        <row r="2">
          <cell r="A2">
            <v>0</v>
          </cell>
        </row>
      </sheetData>
      <sheetData sheetId="719">
        <row r="2">
          <cell r="A2">
            <v>0</v>
          </cell>
        </row>
      </sheetData>
      <sheetData sheetId="720">
        <row r="2">
          <cell r="A2">
            <v>0</v>
          </cell>
        </row>
      </sheetData>
      <sheetData sheetId="721">
        <row r="2">
          <cell r="A2">
            <v>0</v>
          </cell>
        </row>
      </sheetData>
      <sheetData sheetId="722">
        <row r="2">
          <cell r="A2">
            <v>0</v>
          </cell>
        </row>
      </sheetData>
      <sheetData sheetId="723">
        <row r="2">
          <cell r="A2">
            <v>0</v>
          </cell>
        </row>
      </sheetData>
      <sheetData sheetId="724">
        <row r="2">
          <cell r="A2">
            <v>0</v>
          </cell>
        </row>
      </sheetData>
      <sheetData sheetId="725">
        <row r="2">
          <cell r="A2">
            <v>0</v>
          </cell>
        </row>
      </sheetData>
      <sheetData sheetId="726">
        <row r="2">
          <cell r="A2">
            <v>0</v>
          </cell>
        </row>
      </sheetData>
      <sheetData sheetId="727">
        <row r="2">
          <cell r="A2">
            <v>0</v>
          </cell>
        </row>
      </sheetData>
      <sheetData sheetId="728">
        <row r="2">
          <cell r="A2">
            <v>0</v>
          </cell>
        </row>
      </sheetData>
      <sheetData sheetId="729">
        <row r="2">
          <cell r="A2">
            <v>0</v>
          </cell>
        </row>
      </sheetData>
      <sheetData sheetId="730">
        <row r="2">
          <cell r="A2">
            <v>0</v>
          </cell>
        </row>
      </sheetData>
      <sheetData sheetId="731">
        <row r="2">
          <cell r="A2">
            <v>0</v>
          </cell>
        </row>
      </sheetData>
      <sheetData sheetId="732">
        <row r="2">
          <cell r="A2">
            <v>0</v>
          </cell>
        </row>
      </sheetData>
      <sheetData sheetId="733">
        <row r="2">
          <cell r="A2">
            <v>0</v>
          </cell>
        </row>
      </sheetData>
      <sheetData sheetId="734">
        <row r="2">
          <cell r="A2">
            <v>0</v>
          </cell>
        </row>
      </sheetData>
      <sheetData sheetId="735">
        <row r="2">
          <cell r="A2">
            <v>0</v>
          </cell>
        </row>
      </sheetData>
      <sheetData sheetId="736">
        <row r="2">
          <cell r="A2">
            <v>0</v>
          </cell>
        </row>
      </sheetData>
      <sheetData sheetId="737">
        <row r="2">
          <cell r="A2">
            <v>0</v>
          </cell>
        </row>
      </sheetData>
      <sheetData sheetId="738" refreshError="1"/>
      <sheetData sheetId="739" refreshError="1"/>
      <sheetData sheetId="740">
        <row r="2">
          <cell r="A2">
            <v>0</v>
          </cell>
        </row>
      </sheetData>
      <sheetData sheetId="741">
        <row r="2">
          <cell r="A2">
            <v>0</v>
          </cell>
        </row>
      </sheetData>
      <sheetData sheetId="742">
        <row r="2">
          <cell r="A2">
            <v>0</v>
          </cell>
        </row>
      </sheetData>
      <sheetData sheetId="743">
        <row r="2">
          <cell r="A2">
            <v>0</v>
          </cell>
        </row>
      </sheetData>
      <sheetData sheetId="744">
        <row r="2">
          <cell r="A2">
            <v>0</v>
          </cell>
        </row>
      </sheetData>
      <sheetData sheetId="745">
        <row r="2">
          <cell r="A2">
            <v>0</v>
          </cell>
        </row>
      </sheetData>
      <sheetData sheetId="746">
        <row r="2">
          <cell r="A2">
            <v>0</v>
          </cell>
        </row>
      </sheetData>
      <sheetData sheetId="747">
        <row r="2">
          <cell r="A2">
            <v>0</v>
          </cell>
        </row>
      </sheetData>
      <sheetData sheetId="748">
        <row r="2">
          <cell r="A2">
            <v>0</v>
          </cell>
        </row>
      </sheetData>
      <sheetData sheetId="749">
        <row r="2">
          <cell r="A2">
            <v>0</v>
          </cell>
        </row>
      </sheetData>
      <sheetData sheetId="750">
        <row r="2">
          <cell r="A2">
            <v>0</v>
          </cell>
        </row>
      </sheetData>
      <sheetData sheetId="751">
        <row r="2">
          <cell r="A2">
            <v>0</v>
          </cell>
        </row>
      </sheetData>
      <sheetData sheetId="752">
        <row r="2">
          <cell r="A2">
            <v>0</v>
          </cell>
        </row>
      </sheetData>
      <sheetData sheetId="753">
        <row r="2">
          <cell r="A2">
            <v>0</v>
          </cell>
        </row>
      </sheetData>
      <sheetData sheetId="754">
        <row r="2">
          <cell r="A2">
            <v>0</v>
          </cell>
        </row>
      </sheetData>
      <sheetData sheetId="755">
        <row r="2">
          <cell r="A2">
            <v>0</v>
          </cell>
        </row>
      </sheetData>
      <sheetData sheetId="756">
        <row r="2">
          <cell r="A2">
            <v>0</v>
          </cell>
        </row>
      </sheetData>
      <sheetData sheetId="757">
        <row r="2">
          <cell r="A2">
            <v>0</v>
          </cell>
        </row>
      </sheetData>
      <sheetData sheetId="758">
        <row r="2">
          <cell r="A2">
            <v>0</v>
          </cell>
        </row>
      </sheetData>
      <sheetData sheetId="759">
        <row r="2">
          <cell r="A2">
            <v>0</v>
          </cell>
        </row>
      </sheetData>
      <sheetData sheetId="760">
        <row r="2">
          <cell r="A2">
            <v>0</v>
          </cell>
        </row>
      </sheetData>
      <sheetData sheetId="761">
        <row r="2">
          <cell r="A2">
            <v>0</v>
          </cell>
        </row>
      </sheetData>
      <sheetData sheetId="762">
        <row r="2">
          <cell r="A2">
            <v>0</v>
          </cell>
        </row>
      </sheetData>
      <sheetData sheetId="763">
        <row r="2">
          <cell r="A2">
            <v>0</v>
          </cell>
        </row>
      </sheetData>
      <sheetData sheetId="764">
        <row r="2">
          <cell r="A2">
            <v>0</v>
          </cell>
        </row>
      </sheetData>
      <sheetData sheetId="765">
        <row r="2">
          <cell r="A2">
            <v>0</v>
          </cell>
        </row>
      </sheetData>
      <sheetData sheetId="766">
        <row r="2">
          <cell r="A2">
            <v>0</v>
          </cell>
        </row>
      </sheetData>
      <sheetData sheetId="767">
        <row r="2">
          <cell r="A2">
            <v>0</v>
          </cell>
        </row>
      </sheetData>
      <sheetData sheetId="768">
        <row r="2">
          <cell r="A2">
            <v>0</v>
          </cell>
        </row>
      </sheetData>
      <sheetData sheetId="769">
        <row r="2">
          <cell r="A2">
            <v>0</v>
          </cell>
        </row>
      </sheetData>
      <sheetData sheetId="770">
        <row r="2">
          <cell r="A2">
            <v>0</v>
          </cell>
        </row>
      </sheetData>
      <sheetData sheetId="771">
        <row r="2">
          <cell r="A2">
            <v>0</v>
          </cell>
        </row>
      </sheetData>
      <sheetData sheetId="772">
        <row r="2">
          <cell r="A2">
            <v>0</v>
          </cell>
        </row>
      </sheetData>
      <sheetData sheetId="773">
        <row r="2">
          <cell r="A2">
            <v>0</v>
          </cell>
        </row>
      </sheetData>
      <sheetData sheetId="774">
        <row r="2">
          <cell r="A2">
            <v>0</v>
          </cell>
        </row>
      </sheetData>
      <sheetData sheetId="775">
        <row r="2">
          <cell r="A2">
            <v>0</v>
          </cell>
        </row>
      </sheetData>
      <sheetData sheetId="776">
        <row r="2">
          <cell r="A2">
            <v>0</v>
          </cell>
        </row>
      </sheetData>
      <sheetData sheetId="777">
        <row r="2">
          <cell r="A2">
            <v>0</v>
          </cell>
        </row>
      </sheetData>
      <sheetData sheetId="778">
        <row r="2">
          <cell r="A2">
            <v>0</v>
          </cell>
        </row>
      </sheetData>
      <sheetData sheetId="779">
        <row r="2">
          <cell r="A2">
            <v>0</v>
          </cell>
        </row>
      </sheetData>
      <sheetData sheetId="780">
        <row r="2">
          <cell r="A2">
            <v>0</v>
          </cell>
        </row>
      </sheetData>
      <sheetData sheetId="781">
        <row r="2">
          <cell r="A2">
            <v>0</v>
          </cell>
        </row>
      </sheetData>
      <sheetData sheetId="782">
        <row r="2">
          <cell r="A2">
            <v>0</v>
          </cell>
        </row>
      </sheetData>
      <sheetData sheetId="783">
        <row r="2">
          <cell r="A2">
            <v>0</v>
          </cell>
        </row>
      </sheetData>
      <sheetData sheetId="784">
        <row r="2">
          <cell r="A2">
            <v>0</v>
          </cell>
        </row>
      </sheetData>
      <sheetData sheetId="785">
        <row r="2">
          <cell r="A2">
            <v>0</v>
          </cell>
        </row>
      </sheetData>
      <sheetData sheetId="786">
        <row r="2">
          <cell r="A2">
            <v>0</v>
          </cell>
        </row>
      </sheetData>
      <sheetData sheetId="787">
        <row r="2">
          <cell r="A2">
            <v>0</v>
          </cell>
        </row>
      </sheetData>
      <sheetData sheetId="788">
        <row r="2">
          <cell r="A2">
            <v>0</v>
          </cell>
        </row>
      </sheetData>
      <sheetData sheetId="789">
        <row r="2">
          <cell r="A2">
            <v>0</v>
          </cell>
        </row>
      </sheetData>
      <sheetData sheetId="790">
        <row r="2">
          <cell r="A2">
            <v>0</v>
          </cell>
        </row>
      </sheetData>
      <sheetData sheetId="791">
        <row r="2">
          <cell r="A2">
            <v>0</v>
          </cell>
        </row>
      </sheetData>
      <sheetData sheetId="792">
        <row r="2">
          <cell r="A2">
            <v>0</v>
          </cell>
        </row>
      </sheetData>
      <sheetData sheetId="793">
        <row r="2">
          <cell r="A2">
            <v>0</v>
          </cell>
        </row>
      </sheetData>
      <sheetData sheetId="794">
        <row r="2">
          <cell r="A2">
            <v>0</v>
          </cell>
        </row>
      </sheetData>
      <sheetData sheetId="795">
        <row r="2">
          <cell r="A2">
            <v>0</v>
          </cell>
        </row>
      </sheetData>
      <sheetData sheetId="796">
        <row r="2">
          <cell r="A2">
            <v>0</v>
          </cell>
        </row>
      </sheetData>
      <sheetData sheetId="797">
        <row r="2">
          <cell r="A2">
            <v>0</v>
          </cell>
        </row>
      </sheetData>
      <sheetData sheetId="798">
        <row r="2">
          <cell r="A2">
            <v>0</v>
          </cell>
        </row>
      </sheetData>
      <sheetData sheetId="799">
        <row r="2">
          <cell r="A2">
            <v>0</v>
          </cell>
        </row>
      </sheetData>
      <sheetData sheetId="800">
        <row r="2">
          <cell r="A2">
            <v>0</v>
          </cell>
        </row>
      </sheetData>
      <sheetData sheetId="801">
        <row r="2">
          <cell r="A2">
            <v>0</v>
          </cell>
        </row>
      </sheetData>
      <sheetData sheetId="802">
        <row r="2">
          <cell r="A2">
            <v>0</v>
          </cell>
        </row>
      </sheetData>
      <sheetData sheetId="803">
        <row r="2">
          <cell r="A2">
            <v>0</v>
          </cell>
        </row>
      </sheetData>
      <sheetData sheetId="804">
        <row r="2">
          <cell r="A2">
            <v>0</v>
          </cell>
        </row>
      </sheetData>
      <sheetData sheetId="805">
        <row r="2">
          <cell r="A2">
            <v>0</v>
          </cell>
        </row>
      </sheetData>
      <sheetData sheetId="806">
        <row r="2">
          <cell r="A2">
            <v>0</v>
          </cell>
        </row>
      </sheetData>
      <sheetData sheetId="807">
        <row r="2">
          <cell r="A2">
            <v>0</v>
          </cell>
        </row>
      </sheetData>
      <sheetData sheetId="808">
        <row r="2">
          <cell r="A2">
            <v>0</v>
          </cell>
        </row>
      </sheetData>
      <sheetData sheetId="809">
        <row r="2">
          <cell r="A2">
            <v>0</v>
          </cell>
        </row>
      </sheetData>
      <sheetData sheetId="810">
        <row r="2">
          <cell r="A2">
            <v>0</v>
          </cell>
        </row>
      </sheetData>
      <sheetData sheetId="811">
        <row r="2">
          <cell r="A2">
            <v>0</v>
          </cell>
        </row>
      </sheetData>
      <sheetData sheetId="812">
        <row r="2">
          <cell r="A2">
            <v>0</v>
          </cell>
        </row>
      </sheetData>
      <sheetData sheetId="813">
        <row r="2">
          <cell r="A2">
            <v>0</v>
          </cell>
        </row>
      </sheetData>
      <sheetData sheetId="814">
        <row r="2">
          <cell r="A2">
            <v>0</v>
          </cell>
        </row>
      </sheetData>
      <sheetData sheetId="815">
        <row r="2">
          <cell r="A2">
            <v>0</v>
          </cell>
        </row>
      </sheetData>
      <sheetData sheetId="816">
        <row r="2">
          <cell r="A2">
            <v>0</v>
          </cell>
        </row>
      </sheetData>
      <sheetData sheetId="817">
        <row r="2">
          <cell r="A2">
            <v>0</v>
          </cell>
        </row>
      </sheetData>
      <sheetData sheetId="818">
        <row r="2">
          <cell r="A2">
            <v>0</v>
          </cell>
        </row>
      </sheetData>
      <sheetData sheetId="819">
        <row r="2">
          <cell r="A2">
            <v>0</v>
          </cell>
        </row>
      </sheetData>
      <sheetData sheetId="820">
        <row r="2">
          <cell r="A2">
            <v>0</v>
          </cell>
        </row>
      </sheetData>
      <sheetData sheetId="821">
        <row r="2">
          <cell r="A2">
            <v>0</v>
          </cell>
        </row>
      </sheetData>
      <sheetData sheetId="822">
        <row r="2">
          <cell r="A2">
            <v>0</v>
          </cell>
        </row>
      </sheetData>
      <sheetData sheetId="823">
        <row r="2">
          <cell r="A2">
            <v>0</v>
          </cell>
        </row>
      </sheetData>
      <sheetData sheetId="824">
        <row r="2">
          <cell r="A2">
            <v>0</v>
          </cell>
        </row>
      </sheetData>
      <sheetData sheetId="825">
        <row r="2">
          <cell r="A2">
            <v>0</v>
          </cell>
        </row>
      </sheetData>
      <sheetData sheetId="826">
        <row r="2">
          <cell r="A2">
            <v>0</v>
          </cell>
        </row>
      </sheetData>
      <sheetData sheetId="827">
        <row r="2">
          <cell r="A2">
            <v>0</v>
          </cell>
        </row>
      </sheetData>
      <sheetData sheetId="828">
        <row r="2">
          <cell r="A2">
            <v>0</v>
          </cell>
        </row>
      </sheetData>
      <sheetData sheetId="829">
        <row r="2">
          <cell r="A2">
            <v>0</v>
          </cell>
        </row>
      </sheetData>
      <sheetData sheetId="830">
        <row r="2">
          <cell r="A2">
            <v>0</v>
          </cell>
        </row>
      </sheetData>
      <sheetData sheetId="831">
        <row r="2">
          <cell r="A2">
            <v>0</v>
          </cell>
        </row>
      </sheetData>
      <sheetData sheetId="832">
        <row r="2">
          <cell r="A2">
            <v>0</v>
          </cell>
        </row>
      </sheetData>
      <sheetData sheetId="833">
        <row r="2">
          <cell r="A2">
            <v>0</v>
          </cell>
        </row>
      </sheetData>
      <sheetData sheetId="834">
        <row r="2">
          <cell r="A2">
            <v>0</v>
          </cell>
        </row>
      </sheetData>
      <sheetData sheetId="835">
        <row r="2">
          <cell r="A2">
            <v>0</v>
          </cell>
        </row>
      </sheetData>
      <sheetData sheetId="836">
        <row r="2">
          <cell r="A2">
            <v>0</v>
          </cell>
        </row>
      </sheetData>
      <sheetData sheetId="837">
        <row r="2">
          <cell r="A2">
            <v>0</v>
          </cell>
        </row>
      </sheetData>
      <sheetData sheetId="838">
        <row r="2">
          <cell r="A2">
            <v>0</v>
          </cell>
        </row>
      </sheetData>
      <sheetData sheetId="839">
        <row r="2">
          <cell r="A2">
            <v>0</v>
          </cell>
        </row>
      </sheetData>
      <sheetData sheetId="840">
        <row r="2">
          <cell r="A2">
            <v>0</v>
          </cell>
        </row>
      </sheetData>
      <sheetData sheetId="841">
        <row r="2">
          <cell r="A2">
            <v>0</v>
          </cell>
        </row>
      </sheetData>
      <sheetData sheetId="842">
        <row r="2">
          <cell r="A2">
            <v>0</v>
          </cell>
        </row>
      </sheetData>
      <sheetData sheetId="843">
        <row r="2">
          <cell r="A2">
            <v>0</v>
          </cell>
        </row>
      </sheetData>
      <sheetData sheetId="844">
        <row r="2">
          <cell r="A2">
            <v>0</v>
          </cell>
        </row>
      </sheetData>
      <sheetData sheetId="845">
        <row r="2">
          <cell r="A2">
            <v>0</v>
          </cell>
        </row>
      </sheetData>
      <sheetData sheetId="846">
        <row r="2">
          <cell r="A2">
            <v>0</v>
          </cell>
        </row>
      </sheetData>
      <sheetData sheetId="847">
        <row r="2">
          <cell r="A2">
            <v>0</v>
          </cell>
        </row>
      </sheetData>
      <sheetData sheetId="848">
        <row r="2">
          <cell r="A2">
            <v>0</v>
          </cell>
        </row>
      </sheetData>
      <sheetData sheetId="849">
        <row r="2">
          <cell r="A2">
            <v>0</v>
          </cell>
        </row>
      </sheetData>
      <sheetData sheetId="850">
        <row r="2">
          <cell r="A2">
            <v>0</v>
          </cell>
        </row>
      </sheetData>
      <sheetData sheetId="851">
        <row r="2">
          <cell r="A2">
            <v>0</v>
          </cell>
        </row>
      </sheetData>
      <sheetData sheetId="852">
        <row r="2">
          <cell r="A2">
            <v>0</v>
          </cell>
        </row>
      </sheetData>
      <sheetData sheetId="853">
        <row r="2">
          <cell r="A2">
            <v>0</v>
          </cell>
        </row>
      </sheetData>
      <sheetData sheetId="854">
        <row r="2">
          <cell r="A2">
            <v>0</v>
          </cell>
        </row>
      </sheetData>
      <sheetData sheetId="855">
        <row r="2">
          <cell r="A2">
            <v>0</v>
          </cell>
        </row>
      </sheetData>
      <sheetData sheetId="856">
        <row r="2">
          <cell r="A2">
            <v>0</v>
          </cell>
        </row>
      </sheetData>
      <sheetData sheetId="857">
        <row r="2">
          <cell r="A2">
            <v>0</v>
          </cell>
        </row>
      </sheetData>
      <sheetData sheetId="858">
        <row r="2">
          <cell r="A2">
            <v>0</v>
          </cell>
        </row>
      </sheetData>
      <sheetData sheetId="859">
        <row r="2">
          <cell r="A2">
            <v>0</v>
          </cell>
        </row>
      </sheetData>
      <sheetData sheetId="860">
        <row r="2">
          <cell r="A2">
            <v>0</v>
          </cell>
        </row>
      </sheetData>
      <sheetData sheetId="861">
        <row r="2">
          <cell r="A2">
            <v>0</v>
          </cell>
        </row>
      </sheetData>
      <sheetData sheetId="862">
        <row r="2">
          <cell r="A2">
            <v>0</v>
          </cell>
        </row>
      </sheetData>
      <sheetData sheetId="863">
        <row r="2">
          <cell r="A2">
            <v>0</v>
          </cell>
        </row>
      </sheetData>
      <sheetData sheetId="864">
        <row r="2">
          <cell r="A2">
            <v>0</v>
          </cell>
        </row>
      </sheetData>
      <sheetData sheetId="865">
        <row r="2">
          <cell r="A2">
            <v>0</v>
          </cell>
        </row>
      </sheetData>
      <sheetData sheetId="866">
        <row r="2">
          <cell r="A2">
            <v>0</v>
          </cell>
        </row>
      </sheetData>
      <sheetData sheetId="867">
        <row r="2">
          <cell r="A2">
            <v>0</v>
          </cell>
        </row>
      </sheetData>
      <sheetData sheetId="868">
        <row r="2">
          <cell r="A2">
            <v>0</v>
          </cell>
        </row>
      </sheetData>
      <sheetData sheetId="869">
        <row r="2">
          <cell r="A2">
            <v>0</v>
          </cell>
        </row>
      </sheetData>
      <sheetData sheetId="870">
        <row r="2">
          <cell r="A2">
            <v>0</v>
          </cell>
        </row>
      </sheetData>
      <sheetData sheetId="871">
        <row r="2">
          <cell r="A2">
            <v>0</v>
          </cell>
        </row>
      </sheetData>
      <sheetData sheetId="872">
        <row r="2">
          <cell r="A2">
            <v>0</v>
          </cell>
        </row>
      </sheetData>
      <sheetData sheetId="873">
        <row r="2">
          <cell r="A2">
            <v>0</v>
          </cell>
        </row>
      </sheetData>
      <sheetData sheetId="874">
        <row r="2">
          <cell r="A2">
            <v>0</v>
          </cell>
        </row>
      </sheetData>
      <sheetData sheetId="875">
        <row r="2">
          <cell r="A2">
            <v>0</v>
          </cell>
        </row>
      </sheetData>
      <sheetData sheetId="876">
        <row r="2">
          <cell r="A2">
            <v>0</v>
          </cell>
        </row>
      </sheetData>
      <sheetData sheetId="877">
        <row r="2">
          <cell r="A2">
            <v>0</v>
          </cell>
        </row>
      </sheetData>
      <sheetData sheetId="878">
        <row r="2">
          <cell r="A2">
            <v>0</v>
          </cell>
        </row>
      </sheetData>
      <sheetData sheetId="879">
        <row r="2">
          <cell r="A2">
            <v>0</v>
          </cell>
        </row>
      </sheetData>
      <sheetData sheetId="880">
        <row r="2">
          <cell r="A2">
            <v>0</v>
          </cell>
        </row>
      </sheetData>
      <sheetData sheetId="881">
        <row r="2">
          <cell r="A2">
            <v>0</v>
          </cell>
        </row>
      </sheetData>
      <sheetData sheetId="882">
        <row r="2">
          <cell r="A2">
            <v>0</v>
          </cell>
        </row>
      </sheetData>
      <sheetData sheetId="883">
        <row r="2">
          <cell r="A2">
            <v>0</v>
          </cell>
        </row>
      </sheetData>
      <sheetData sheetId="884">
        <row r="2">
          <cell r="A2">
            <v>0</v>
          </cell>
        </row>
      </sheetData>
      <sheetData sheetId="885">
        <row r="2">
          <cell r="A2">
            <v>0</v>
          </cell>
        </row>
      </sheetData>
      <sheetData sheetId="886">
        <row r="2">
          <cell r="A2">
            <v>0</v>
          </cell>
        </row>
      </sheetData>
      <sheetData sheetId="887">
        <row r="2">
          <cell r="A2">
            <v>0</v>
          </cell>
        </row>
      </sheetData>
      <sheetData sheetId="888">
        <row r="2">
          <cell r="A2">
            <v>0</v>
          </cell>
        </row>
      </sheetData>
      <sheetData sheetId="889">
        <row r="2">
          <cell r="A2">
            <v>0</v>
          </cell>
        </row>
      </sheetData>
      <sheetData sheetId="890">
        <row r="2">
          <cell r="A2">
            <v>0</v>
          </cell>
        </row>
      </sheetData>
      <sheetData sheetId="891">
        <row r="2">
          <cell r="A2">
            <v>0</v>
          </cell>
        </row>
      </sheetData>
      <sheetData sheetId="892">
        <row r="2">
          <cell r="A2">
            <v>0</v>
          </cell>
        </row>
      </sheetData>
      <sheetData sheetId="893">
        <row r="2">
          <cell r="A2">
            <v>0</v>
          </cell>
        </row>
      </sheetData>
      <sheetData sheetId="894">
        <row r="2">
          <cell r="A2">
            <v>0</v>
          </cell>
        </row>
      </sheetData>
      <sheetData sheetId="895">
        <row r="2">
          <cell r="A2">
            <v>0</v>
          </cell>
        </row>
      </sheetData>
      <sheetData sheetId="896">
        <row r="2">
          <cell r="A2">
            <v>0</v>
          </cell>
        </row>
      </sheetData>
      <sheetData sheetId="897">
        <row r="2">
          <cell r="A2">
            <v>0</v>
          </cell>
        </row>
      </sheetData>
      <sheetData sheetId="898">
        <row r="2">
          <cell r="A2">
            <v>0</v>
          </cell>
        </row>
      </sheetData>
      <sheetData sheetId="899">
        <row r="2">
          <cell r="A2">
            <v>0</v>
          </cell>
        </row>
      </sheetData>
      <sheetData sheetId="900">
        <row r="2">
          <cell r="A2">
            <v>0</v>
          </cell>
        </row>
      </sheetData>
      <sheetData sheetId="901">
        <row r="2">
          <cell r="A2">
            <v>0</v>
          </cell>
        </row>
      </sheetData>
      <sheetData sheetId="902">
        <row r="2">
          <cell r="A2">
            <v>0</v>
          </cell>
        </row>
      </sheetData>
      <sheetData sheetId="903">
        <row r="2">
          <cell r="A2">
            <v>0</v>
          </cell>
        </row>
      </sheetData>
      <sheetData sheetId="904">
        <row r="2">
          <cell r="A2">
            <v>0</v>
          </cell>
        </row>
      </sheetData>
      <sheetData sheetId="905">
        <row r="2">
          <cell r="A2">
            <v>0</v>
          </cell>
        </row>
      </sheetData>
      <sheetData sheetId="906">
        <row r="2">
          <cell r="A2">
            <v>0</v>
          </cell>
        </row>
      </sheetData>
      <sheetData sheetId="907">
        <row r="2">
          <cell r="A2">
            <v>0</v>
          </cell>
        </row>
      </sheetData>
      <sheetData sheetId="908">
        <row r="2">
          <cell r="A2">
            <v>0</v>
          </cell>
        </row>
      </sheetData>
      <sheetData sheetId="909">
        <row r="2">
          <cell r="A2">
            <v>0</v>
          </cell>
        </row>
      </sheetData>
      <sheetData sheetId="910">
        <row r="2">
          <cell r="A2">
            <v>0</v>
          </cell>
        </row>
      </sheetData>
      <sheetData sheetId="911">
        <row r="2">
          <cell r="A2">
            <v>0</v>
          </cell>
        </row>
      </sheetData>
      <sheetData sheetId="912">
        <row r="2">
          <cell r="A2">
            <v>0</v>
          </cell>
        </row>
      </sheetData>
      <sheetData sheetId="913">
        <row r="2">
          <cell r="A2">
            <v>0</v>
          </cell>
        </row>
      </sheetData>
      <sheetData sheetId="914">
        <row r="2">
          <cell r="A2">
            <v>0</v>
          </cell>
        </row>
      </sheetData>
      <sheetData sheetId="915">
        <row r="2">
          <cell r="A2">
            <v>0</v>
          </cell>
        </row>
      </sheetData>
      <sheetData sheetId="916">
        <row r="2">
          <cell r="A2">
            <v>0</v>
          </cell>
        </row>
      </sheetData>
      <sheetData sheetId="917">
        <row r="2">
          <cell r="A2">
            <v>0</v>
          </cell>
        </row>
      </sheetData>
      <sheetData sheetId="918">
        <row r="2">
          <cell r="A2">
            <v>0</v>
          </cell>
        </row>
      </sheetData>
      <sheetData sheetId="919">
        <row r="2">
          <cell r="A2">
            <v>0</v>
          </cell>
        </row>
      </sheetData>
      <sheetData sheetId="920">
        <row r="2">
          <cell r="A2">
            <v>0</v>
          </cell>
        </row>
      </sheetData>
      <sheetData sheetId="921">
        <row r="2">
          <cell r="A2">
            <v>0</v>
          </cell>
        </row>
      </sheetData>
      <sheetData sheetId="922">
        <row r="2">
          <cell r="A2">
            <v>0</v>
          </cell>
        </row>
      </sheetData>
      <sheetData sheetId="923">
        <row r="2">
          <cell r="A2">
            <v>0</v>
          </cell>
        </row>
      </sheetData>
      <sheetData sheetId="924">
        <row r="2">
          <cell r="A2">
            <v>0</v>
          </cell>
        </row>
      </sheetData>
      <sheetData sheetId="925">
        <row r="2">
          <cell r="A2">
            <v>0</v>
          </cell>
        </row>
      </sheetData>
      <sheetData sheetId="926">
        <row r="2">
          <cell r="A2">
            <v>0</v>
          </cell>
        </row>
      </sheetData>
      <sheetData sheetId="927">
        <row r="2">
          <cell r="A2">
            <v>0</v>
          </cell>
        </row>
      </sheetData>
      <sheetData sheetId="928">
        <row r="2">
          <cell r="A2">
            <v>0</v>
          </cell>
        </row>
      </sheetData>
      <sheetData sheetId="929">
        <row r="2">
          <cell r="A2">
            <v>0</v>
          </cell>
        </row>
      </sheetData>
      <sheetData sheetId="930">
        <row r="2">
          <cell r="A2">
            <v>0</v>
          </cell>
        </row>
      </sheetData>
      <sheetData sheetId="931" refreshError="1"/>
      <sheetData sheetId="932" refreshError="1"/>
      <sheetData sheetId="933">
        <row r="2">
          <cell r="A2">
            <v>0</v>
          </cell>
        </row>
      </sheetData>
      <sheetData sheetId="934">
        <row r="2">
          <cell r="A2">
            <v>0</v>
          </cell>
        </row>
      </sheetData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>
        <row r="2">
          <cell r="A2">
            <v>0</v>
          </cell>
        </row>
      </sheetData>
      <sheetData sheetId="942">
        <row r="2">
          <cell r="A2">
            <v>0</v>
          </cell>
        </row>
      </sheetData>
      <sheetData sheetId="943">
        <row r="2">
          <cell r="A2">
            <v>0</v>
          </cell>
        </row>
      </sheetData>
      <sheetData sheetId="944">
        <row r="2">
          <cell r="A2">
            <v>0</v>
          </cell>
        </row>
      </sheetData>
      <sheetData sheetId="945">
        <row r="2">
          <cell r="A2">
            <v>0</v>
          </cell>
        </row>
      </sheetData>
      <sheetData sheetId="946">
        <row r="2">
          <cell r="A2">
            <v>0</v>
          </cell>
        </row>
      </sheetData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>
        <row r="2">
          <cell r="A2">
            <v>0</v>
          </cell>
        </row>
      </sheetData>
      <sheetData sheetId="991">
        <row r="2">
          <cell r="A2">
            <v>0</v>
          </cell>
        </row>
      </sheetData>
      <sheetData sheetId="992">
        <row r="2">
          <cell r="A2">
            <v>0</v>
          </cell>
        </row>
      </sheetData>
      <sheetData sheetId="993">
        <row r="2">
          <cell r="A2">
            <v>0</v>
          </cell>
        </row>
      </sheetData>
      <sheetData sheetId="994">
        <row r="2">
          <cell r="A2">
            <v>0</v>
          </cell>
        </row>
      </sheetData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 refreshError="1"/>
      <sheetData sheetId="100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>
        <row r="13">
          <cell r="E13" t="str">
            <v>Введите название региона</v>
          </cell>
        </row>
        <row r="21">
          <cell r="D21" t="str">
            <v>ЗАО "КНПЗ-Краснодарэконефть"</v>
          </cell>
        </row>
        <row r="27">
          <cell r="F27" t="str">
            <v>Предложение регионального регулятора</v>
          </cell>
        </row>
      </sheetData>
      <sheetData sheetId="3"/>
      <sheetData sheetId="4"/>
      <sheetData sheetId="5">
        <row r="18">
          <cell r="H18">
            <v>5.4</v>
          </cell>
        </row>
        <row r="20">
          <cell r="F20">
            <v>49.1</v>
          </cell>
          <cell r="K20">
            <v>98.61</v>
          </cell>
          <cell r="U20">
            <v>104.58</v>
          </cell>
          <cell r="Z20">
            <v>104.7</v>
          </cell>
        </row>
        <row r="23">
          <cell r="F23">
            <v>0.08</v>
          </cell>
          <cell r="H23">
            <v>1.45</v>
          </cell>
          <cell r="K23">
            <v>0.13</v>
          </cell>
          <cell r="U23">
            <v>0.13</v>
          </cell>
          <cell r="Z23">
            <v>0.17</v>
          </cell>
        </row>
        <row r="25">
          <cell r="F25">
            <v>13.17</v>
          </cell>
          <cell r="K25">
            <v>31.74</v>
          </cell>
          <cell r="U25">
            <v>34.4</v>
          </cell>
          <cell r="Z25">
            <v>35.67</v>
          </cell>
        </row>
        <row r="27">
          <cell r="F27">
            <v>13.17</v>
          </cell>
          <cell r="H27">
            <v>3.95</v>
          </cell>
        </row>
        <row r="29">
          <cell r="F29">
            <v>33.5</v>
          </cell>
          <cell r="K29">
            <v>66.010000000000005</v>
          </cell>
          <cell r="U29">
            <v>68.81</v>
          </cell>
          <cell r="Z29">
            <v>67.55</v>
          </cell>
        </row>
      </sheetData>
      <sheetData sheetId="6">
        <row r="18">
          <cell r="H18">
            <v>0.62</v>
          </cell>
        </row>
        <row r="20">
          <cell r="F20">
            <v>5.61</v>
          </cell>
          <cell r="K20">
            <v>11.26</v>
          </cell>
          <cell r="U20">
            <v>11.8</v>
          </cell>
          <cell r="Z20">
            <v>11.95</v>
          </cell>
        </row>
        <row r="21">
          <cell r="F21">
            <v>0.27</v>
          </cell>
          <cell r="K21">
            <v>0.09</v>
          </cell>
          <cell r="U21">
            <v>0.14000000000000001</v>
          </cell>
          <cell r="Z21">
            <v>0.15</v>
          </cell>
        </row>
        <row r="23">
          <cell r="F23">
            <v>0.01</v>
          </cell>
          <cell r="H23">
            <v>0.17</v>
          </cell>
          <cell r="K23">
            <v>0.02</v>
          </cell>
          <cell r="U23">
            <v>0.01</v>
          </cell>
          <cell r="Z23">
            <v>0.02</v>
          </cell>
        </row>
        <row r="25">
          <cell r="F25">
            <v>1.5</v>
          </cell>
          <cell r="H25">
            <v>0.45</v>
          </cell>
          <cell r="K25">
            <v>3.63</v>
          </cell>
          <cell r="U25">
            <v>3.95</v>
          </cell>
          <cell r="Z25">
            <v>4.09</v>
          </cell>
        </row>
        <row r="27">
          <cell r="F27">
            <v>1.5</v>
          </cell>
          <cell r="H27">
            <v>0.45</v>
          </cell>
        </row>
        <row r="29">
          <cell r="F29">
            <v>3.82</v>
          </cell>
          <cell r="K29">
            <v>7.52</v>
          </cell>
          <cell r="U29">
            <v>7.7</v>
          </cell>
          <cell r="Z29">
            <v>7.69</v>
          </cell>
        </row>
      </sheetData>
      <sheetData sheetId="7"/>
      <sheetData sheetId="8">
        <row r="9">
          <cell r="F9">
            <v>2</v>
          </cell>
          <cell r="H9">
            <v>2</v>
          </cell>
          <cell r="I9">
            <v>2</v>
          </cell>
        </row>
        <row r="11">
          <cell r="F11">
            <v>2</v>
          </cell>
          <cell r="H11">
            <v>2</v>
          </cell>
          <cell r="I11">
            <v>2</v>
          </cell>
        </row>
        <row r="13">
          <cell r="F13">
            <v>1.18</v>
          </cell>
          <cell r="H13">
            <v>1.7</v>
          </cell>
          <cell r="I13">
            <v>1.7</v>
          </cell>
        </row>
        <row r="15">
          <cell r="F15">
            <v>59</v>
          </cell>
          <cell r="H15">
            <v>85</v>
          </cell>
          <cell r="I15">
            <v>85</v>
          </cell>
        </row>
        <row r="16">
          <cell r="F16">
            <v>1.18</v>
          </cell>
          <cell r="H16">
            <v>1.7</v>
          </cell>
          <cell r="I16">
            <v>1.7</v>
          </cell>
        </row>
        <row r="18">
          <cell r="F18">
            <v>4514.3999999999996</v>
          </cell>
          <cell r="H18">
            <v>6771.6</v>
          </cell>
          <cell r="I18">
            <v>3022</v>
          </cell>
        </row>
        <row r="19">
          <cell r="F19">
            <v>1.27</v>
          </cell>
          <cell r="H19">
            <v>1.27</v>
          </cell>
          <cell r="I19">
            <v>6</v>
          </cell>
        </row>
        <row r="20">
          <cell r="F20">
            <v>2.1237810000000001</v>
          </cell>
          <cell r="H20">
            <v>2.1381359999999998</v>
          </cell>
          <cell r="I20">
            <v>1.76</v>
          </cell>
        </row>
        <row r="23">
          <cell r="F23">
            <v>3.8323999999999998</v>
          </cell>
          <cell r="H23">
            <v>8.1912000000000003</v>
          </cell>
          <cell r="I23">
            <v>12.5</v>
          </cell>
        </row>
        <row r="26">
          <cell r="F26">
            <v>46.640900000000002</v>
          </cell>
          <cell r="H26">
            <v>46.16816</v>
          </cell>
          <cell r="I26">
            <v>75</v>
          </cell>
        </row>
        <row r="29">
          <cell r="I29">
            <v>15</v>
          </cell>
        </row>
        <row r="32">
          <cell r="F32">
            <v>25.0943</v>
          </cell>
          <cell r="H32">
            <v>3.2189950000000001</v>
          </cell>
          <cell r="I32">
            <v>33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9">
          <cell r="F9">
            <v>13689.74</v>
          </cell>
          <cell r="H9">
            <v>13393.99</v>
          </cell>
          <cell r="J9">
            <v>13393.99</v>
          </cell>
        </row>
        <row r="17">
          <cell r="F17">
            <v>2.37</v>
          </cell>
          <cell r="H17">
            <v>2.37</v>
          </cell>
          <cell r="J17">
            <v>2.37</v>
          </cell>
        </row>
        <row r="54">
          <cell r="F54">
            <v>5412.58</v>
          </cell>
          <cell r="H54">
            <v>13393.99</v>
          </cell>
        </row>
        <row r="62">
          <cell r="F62">
            <v>1.32</v>
          </cell>
          <cell r="H62">
            <v>2.37</v>
          </cell>
        </row>
        <row r="69">
          <cell r="F69">
            <v>9.4282000000000004</v>
          </cell>
          <cell r="H69">
            <v>7.1523000000000003</v>
          </cell>
          <cell r="I69">
            <v>6.6021349999999996</v>
          </cell>
          <cell r="J69">
            <v>6.6021349999999996</v>
          </cell>
          <cell r="K69">
            <v>6.6021349999999996</v>
          </cell>
          <cell r="L69">
            <v>6.6021349999999996</v>
          </cell>
          <cell r="M69">
            <v>6.6021349999999996</v>
          </cell>
        </row>
        <row r="72">
          <cell r="F72">
            <v>14.12</v>
          </cell>
          <cell r="H72">
            <v>14.12</v>
          </cell>
          <cell r="I72">
            <v>14.12</v>
          </cell>
          <cell r="J72">
            <v>14.12</v>
          </cell>
          <cell r="K72">
            <v>14.12</v>
          </cell>
          <cell r="L72">
            <v>14.12</v>
          </cell>
          <cell r="M72">
            <v>14.12</v>
          </cell>
        </row>
        <row r="77">
          <cell r="F77">
            <v>14.12</v>
          </cell>
          <cell r="H77">
            <v>14.12</v>
          </cell>
          <cell r="I77">
            <v>14.12</v>
          </cell>
          <cell r="J77">
            <v>14.12</v>
          </cell>
          <cell r="K77">
            <v>14.12</v>
          </cell>
          <cell r="L77">
            <v>14.12</v>
          </cell>
          <cell r="M77">
            <v>14.12</v>
          </cell>
        </row>
      </sheetData>
      <sheetData sheetId="10">
        <row r="19">
          <cell r="D19">
            <v>13396.36</v>
          </cell>
          <cell r="E19">
            <v>0</v>
          </cell>
          <cell r="F19">
            <v>0</v>
          </cell>
          <cell r="I19">
            <v>884.62</v>
          </cell>
        </row>
      </sheetData>
      <sheetData sheetId="11">
        <row r="8">
          <cell r="E8">
            <v>0</v>
          </cell>
          <cell r="F8">
            <v>1748.8081500706917</v>
          </cell>
          <cell r="G8">
            <v>0</v>
          </cell>
          <cell r="H8">
            <v>5172.7917349465934</v>
          </cell>
          <cell r="I8">
            <v>2271.6954654636197</v>
          </cell>
          <cell r="J8">
            <v>0</v>
          </cell>
        </row>
        <row r="9">
          <cell r="E9">
            <v>0</v>
          </cell>
          <cell r="F9">
            <v>1748.8081500706917</v>
          </cell>
          <cell r="G9">
            <v>0</v>
          </cell>
          <cell r="H9">
            <v>5172.7917349465934</v>
          </cell>
          <cell r="I9">
            <v>2271.6954654636197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401.6</v>
          </cell>
          <cell r="G15">
            <v>0</v>
          </cell>
          <cell r="H15">
            <v>3251.44</v>
          </cell>
          <cell r="I15">
            <v>149.35650916415787</v>
          </cell>
          <cell r="J15">
            <v>0</v>
          </cell>
        </row>
        <row r="16">
          <cell r="E16">
            <v>0</v>
          </cell>
          <cell r="F16">
            <v>401.6</v>
          </cell>
          <cell r="G16">
            <v>0</v>
          </cell>
          <cell r="H16">
            <v>3251.44</v>
          </cell>
          <cell r="I16">
            <v>149.35650916415787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22.964211367825925</v>
          </cell>
          <cell r="G22">
            <v>0</v>
          </cell>
          <cell r="H22">
            <v>62.856580481169701</v>
          </cell>
          <cell r="I22">
            <v>6.5746712723959417</v>
          </cell>
          <cell r="J22">
            <v>0</v>
          </cell>
        </row>
        <row r="23">
          <cell r="E23">
            <v>0</v>
          </cell>
          <cell r="F23">
            <v>2150.4081500706916</v>
          </cell>
          <cell r="G23">
            <v>0</v>
          </cell>
          <cell r="H23">
            <v>8424.2317349465939</v>
          </cell>
          <cell r="I23">
            <v>2421.0519746277778</v>
          </cell>
          <cell r="J23">
            <v>0</v>
          </cell>
        </row>
        <row r="24">
          <cell r="E24">
            <v>0</v>
          </cell>
          <cell r="F24">
            <v>2150.4081500706916</v>
          </cell>
          <cell r="G24">
            <v>0</v>
          </cell>
          <cell r="H24">
            <v>8424.2317349465939</v>
          </cell>
          <cell r="I24">
            <v>2421.0519746277778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5.78</v>
          </cell>
          <cell r="F30">
            <v>11.15</v>
          </cell>
          <cell r="G30">
            <v>0</v>
          </cell>
          <cell r="H30">
            <v>11.65</v>
          </cell>
          <cell r="I30">
            <v>11.78</v>
          </cell>
          <cell r="J30">
            <v>0</v>
          </cell>
        </row>
        <row r="31">
          <cell r="E31">
            <v>0.44999999999999996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0.44999999999999996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16071.809791260772</v>
          </cell>
          <cell r="G35">
            <v>0</v>
          </cell>
          <cell r="H35">
            <v>60259.168347257466</v>
          </cell>
          <cell r="I35">
            <v>17126.853244395716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21.999060358779449</v>
          </cell>
          <cell r="G42">
            <v>0</v>
          </cell>
          <cell r="H42">
            <v>81.622243338306291</v>
          </cell>
          <cell r="I42">
            <v>23.455260362602004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 t="e">
            <v>#DIV/0!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>
        <row r="8">
          <cell r="F8">
            <v>1160</v>
          </cell>
          <cell r="H8">
            <v>1435.1</v>
          </cell>
          <cell r="I8">
            <v>1435.1</v>
          </cell>
        </row>
        <row r="9">
          <cell r="F9">
            <v>1160</v>
          </cell>
          <cell r="H9">
            <v>1435.1</v>
          </cell>
          <cell r="I9">
            <v>1435.1</v>
          </cell>
        </row>
        <row r="10">
          <cell r="F10">
            <v>1160</v>
          </cell>
          <cell r="H10">
            <v>1435.1</v>
          </cell>
          <cell r="I10">
            <v>1435.1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  <cell r="K8" t="str">
            <v>Сводный по региону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Лист1"/>
      <sheetName val="Лист2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TEHSHEET"/>
      <sheetName val="fes"/>
    </sheetNames>
    <sheetDataSet>
      <sheetData sheetId="0"/>
      <sheetData sheetId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  <sheetData sheetId="2"/>
      <sheetData sheetId="3"/>
      <sheetData sheetId="4">
        <row r="12">
          <cell r="R12">
            <v>9.9999999999999994E-37</v>
          </cell>
          <cell r="S12">
            <v>0</v>
          </cell>
          <cell r="T12">
            <v>0</v>
          </cell>
          <cell r="W12">
            <v>9.9999999999999994E-37</v>
          </cell>
          <cell r="X12">
            <v>0</v>
          </cell>
          <cell r="Y12">
            <v>0</v>
          </cell>
          <cell r="AB12">
            <v>9.9999999999999994E-37</v>
          </cell>
          <cell r="AC12">
            <v>0</v>
          </cell>
          <cell r="AD12">
            <v>0</v>
          </cell>
        </row>
        <row r="13">
          <cell r="Q13">
            <v>9.9999999999999994E-37</v>
          </cell>
          <cell r="R13">
            <v>9.9999999999999994E-37</v>
          </cell>
          <cell r="S13">
            <v>9.9999999999999994E-37</v>
          </cell>
          <cell r="T13">
            <v>0</v>
          </cell>
          <cell r="V13">
            <v>9.9999999999999994E-37</v>
          </cell>
          <cell r="W13">
            <v>9.9999999999999994E-37</v>
          </cell>
          <cell r="X13">
            <v>9.9999999999999994E-37</v>
          </cell>
          <cell r="Y13">
            <v>0</v>
          </cell>
          <cell r="AA13">
            <v>9.9999999999999994E-37</v>
          </cell>
          <cell r="AB13">
            <v>9.9999999999999994E-37</v>
          </cell>
          <cell r="AC13">
            <v>9.9999999999999994E-37</v>
          </cell>
          <cell r="AD13">
            <v>0</v>
          </cell>
        </row>
        <row r="14">
          <cell r="Q14">
            <v>9.9999999999999994E-37</v>
          </cell>
          <cell r="R14">
            <v>9.9999999999999994E-37</v>
          </cell>
          <cell r="S14">
            <v>9.9999999999999994E-37</v>
          </cell>
          <cell r="T14">
            <v>6.89</v>
          </cell>
          <cell r="V14">
            <v>9.9999999999999994E-37</v>
          </cell>
          <cell r="W14">
            <v>9.9999999999999994E-37</v>
          </cell>
          <cell r="X14">
            <v>9.9999999999999994E-37</v>
          </cell>
          <cell r="Y14">
            <v>6.89</v>
          </cell>
          <cell r="AA14">
            <v>9.9999999999999994E-37</v>
          </cell>
          <cell r="AB14">
            <v>9.9999999999999994E-37</v>
          </cell>
          <cell r="AC14">
            <v>9.9999999999999994E-37</v>
          </cell>
          <cell r="AD14">
            <v>6.8900000000000006</v>
          </cell>
        </row>
        <row r="17">
          <cell r="Q17">
            <v>9.9999999999999994E-12</v>
          </cell>
          <cell r="R17">
            <v>1E-10</v>
          </cell>
          <cell r="S17">
            <v>12.64</v>
          </cell>
          <cell r="T17">
            <v>0</v>
          </cell>
          <cell r="V17">
            <v>9.9999999999999994E-12</v>
          </cell>
          <cell r="W17">
            <v>1E-10</v>
          </cell>
          <cell r="X17">
            <v>12.64</v>
          </cell>
          <cell r="Y17">
            <v>0</v>
          </cell>
          <cell r="AA17">
            <v>9.9999999999999994E-12</v>
          </cell>
          <cell r="AB17">
            <v>1E-10</v>
          </cell>
          <cell r="AC17">
            <v>12.64</v>
          </cell>
          <cell r="AD17">
            <v>0</v>
          </cell>
        </row>
        <row r="20">
          <cell r="T20">
            <v>8.1950000000000003</v>
          </cell>
          <cell r="X20">
            <v>0</v>
          </cell>
          <cell r="Y20">
            <v>1E-14</v>
          </cell>
          <cell r="AC20">
            <v>0</v>
          </cell>
          <cell r="AD20">
            <v>1E-14</v>
          </cell>
        </row>
        <row r="22">
          <cell r="Q22">
            <v>1E-27</v>
          </cell>
          <cell r="R22">
            <v>9.9999999999999991E-22</v>
          </cell>
          <cell r="S22">
            <v>5.9249999999999998</v>
          </cell>
          <cell r="T22">
            <v>6.88</v>
          </cell>
          <cell r="V22">
            <v>1E-27</v>
          </cell>
          <cell r="W22">
            <v>9.9999999999999991E-22</v>
          </cell>
          <cell r="X22">
            <v>5.16</v>
          </cell>
          <cell r="Y22">
            <v>6.87</v>
          </cell>
          <cell r="AA22">
            <v>1E-27</v>
          </cell>
          <cell r="AB22">
            <v>9.9999999999999991E-22</v>
          </cell>
          <cell r="AC22">
            <v>5.41</v>
          </cell>
          <cell r="AD22">
            <v>6.8800000000000008</v>
          </cell>
        </row>
        <row r="26">
          <cell r="V26">
            <v>1E-27</v>
          </cell>
          <cell r="W26">
            <v>1E-27</v>
          </cell>
          <cell r="AA26">
            <v>1E-27</v>
          </cell>
          <cell r="AB26">
            <v>1E-27</v>
          </cell>
        </row>
      </sheetData>
      <sheetData sheetId="5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  <cell r="E48">
            <v>1E-26</v>
          </cell>
          <cell r="F48">
            <v>1E-22</v>
          </cell>
          <cell r="G48">
            <v>5.41</v>
          </cell>
          <cell r="H48">
            <v>6.8800000000000008</v>
          </cell>
          <cell r="K48">
            <v>1E-27</v>
          </cell>
          <cell r="L48">
            <v>1E-26</v>
          </cell>
          <cell r="M48">
            <v>0.61757990867579915</v>
          </cell>
          <cell r="N48">
            <v>0.78538812785388135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0">
          <cell r="G10">
            <v>74.63</v>
          </cell>
          <cell r="H10">
            <v>415.44</v>
          </cell>
          <cell r="I10">
            <v>36.74</v>
          </cell>
        </row>
        <row r="12">
          <cell r="G12">
            <v>0</v>
          </cell>
          <cell r="H12">
            <v>968.5</v>
          </cell>
          <cell r="I12">
            <v>276.39999999999998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20">
          <cell r="G20">
            <v>35.97</v>
          </cell>
          <cell r="H20">
            <v>157.58000000000001</v>
          </cell>
          <cell r="I20">
            <v>44.56066118054401</v>
          </cell>
        </row>
        <row r="31">
          <cell r="G31">
            <v>15.2</v>
          </cell>
          <cell r="H31">
            <v>12.8</v>
          </cell>
        </row>
        <row r="34">
          <cell r="G34">
            <v>412.28</v>
          </cell>
          <cell r="H34">
            <v>1211.9099999999999</v>
          </cell>
          <cell r="I34">
            <v>298.10000000000002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8">
          <cell r="B38" t="str">
            <v>Цеховые расходы</v>
          </cell>
          <cell r="G38">
            <v>265.32</v>
          </cell>
          <cell r="H38">
            <v>656.01</v>
          </cell>
          <cell r="I38">
            <v>150.06</v>
          </cell>
        </row>
        <row r="39">
          <cell r="B39" t="str">
            <v>Общехозяйственные расходы</v>
          </cell>
          <cell r="G39">
            <v>146.96</v>
          </cell>
          <cell r="H39">
            <v>555.9</v>
          </cell>
          <cell r="I39">
            <v>148.04</v>
          </cell>
        </row>
      </sheetData>
      <sheetData sheetId="8"/>
      <sheetData sheetId="9"/>
      <sheetData sheetId="10"/>
      <sheetData sheetId="11">
        <row r="6">
          <cell r="H6">
            <v>166.27112380800003</v>
          </cell>
          <cell r="I6">
            <v>587.99</v>
          </cell>
          <cell r="J6">
            <v>166.27112380800003</v>
          </cell>
        </row>
        <row r="8">
          <cell r="H8">
            <v>44.56066118054401</v>
          </cell>
          <cell r="I8">
            <v>157.58000000000001</v>
          </cell>
          <cell r="J8">
            <v>44.56066118054401</v>
          </cell>
        </row>
        <row r="14">
          <cell r="H14">
            <v>41.94</v>
          </cell>
          <cell r="I14">
            <v>116.36</v>
          </cell>
          <cell r="J14">
            <v>41.94</v>
          </cell>
        </row>
        <row r="17">
          <cell r="H17">
            <v>313.14</v>
          </cell>
          <cell r="I17">
            <v>1383.94</v>
          </cell>
          <cell r="J17">
            <v>313.14</v>
          </cell>
        </row>
        <row r="19">
          <cell r="H19">
            <v>150.06</v>
          </cell>
          <cell r="I19">
            <v>656.01</v>
          </cell>
          <cell r="J19">
            <v>150.06</v>
          </cell>
        </row>
        <row r="28">
          <cell r="I28">
            <v>12.8</v>
          </cell>
        </row>
        <row r="32">
          <cell r="H32">
            <v>148.04</v>
          </cell>
          <cell r="I32">
            <v>555.9</v>
          </cell>
          <cell r="J32">
            <v>148.04</v>
          </cell>
        </row>
        <row r="52">
          <cell r="H52">
            <v>0</v>
          </cell>
          <cell r="I52">
            <v>12.030000000000001</v>
          </cell>
          <cell r="J52">
            <v>12.290000000000001</v>
          </cell>
        </row>
        <row r="56">
          <cell r="J56">
            <v>0</v>
          </cell>
        </row>
        <row r="57">
          <cell r="J57">
            <v>0</v>
          </cell>
        </row>
        <row r="60">
          <cell r="H60">
            <v>95.584699999999998</v>
          </cell>
          <cell r="I60">
            <v>84.91</v>
          </cell>
          <cell r="J60">
            <v>159.11000000000001</v>
          </cell>
        </row>
        <row r="62">
          <cell r="H62">
            <v>0</v>
          </cell>
          <cell r="I62">
            <v>0</v>
          </cell>
          <cell r="J62">
            <v>0</v>
          </cell>
        </row>
        <row r="63">
          <cell r="H63">
            <v>0</v>
          </cell>
          <cell r="I63">
            <v>0</v>
          </cell>
          <cell r="J63">
            <v>0</v>
          </cell>
        </row>
        <row r="64">
          <cell r="H64">
            <v>85.362499999999997</v>
          </cell>
          <cell r="I64">
            <v>71.95</v>
          </cell>
          <cell r="J64">
            <v>146.15</v>
          </cell>
        </row>
        <row r="65">
          <cell r="H65">
            <v>10.222200000000001</v>
          </cell>
          <cell r="I65">
            <v>12.96</v>
          </cell>
          <cell r="J65">
            <v>12.96</v>
          </cell>
        </row>
      </sheetData>
      <sheetData sheetId="12"/>
      <sheetData sheetId="13"/>
      <sheetData sheetId="14">
        <row r="17">
          <cell r="G17">
            <v>20</v>
          </cell>
          <cell r="H17">
            <v>116</v>
          </cell>
          <cell r="I17">
            <v>32.9</v>
          </cell>
        </row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32">
          <cell r="G32">
            <v>20</v>
          </cell>
          <cell r="H32">
            <v>116</v>
          </cell>
          <cell r="I32">
            <v>32.9</v>
          </cell>
        </row>
        <row r="35">
          <cell r="G35">
            <v>4.8</v>
          </cell>
          <cell r="H35">
            <v>27.84</v>
          </cell>
          <cell r="I35">
            <v>10.39</v>
          </cell>
        </row>
        <row r="40">
          <cell r="G40">
            <v>15.2</v>
          </cell>
          <cell r="H40">
            <v>12.8</v>
          </cell>
          <cell r="I40">
            <v>9.83</v>
          </cell>
        </row>
        <row r="48">
          <cell r="B48" t="str">
            <v>Сбор на содержание милиции</v>
          </cell>
        </row>
        <row r="56">
          <cell r="G56">
            <v>33.89</v>
          </cell>
          <cell r="H56">
            <v>132.72999999999999</v>
          </cell>
          <cell r="I56">
            <v>49.029760000000003</v>
          </cell>
        </row>
        <row r="57">
          <cell r="G57">
            <v>6.11</v>
          </cell>
          <cell r="H57">
            <v>23.91</v>
          </cell>
          <cell r="I57">
            <v>4.0902399999999997</v>
          </cell>
        </row>
      </sheetData>
      <sheetData sheetId="15"/>
      <sheetData sheetId="16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>
        <row r="35">
          <cell r="F35">
            <v>110</v>
          </cell>
        </row>
        <row r="36">
          <cell r="F36">
            <v>470</v>
          </cell>
        </row>
        <row r="37">
          <cell r="F37">
            <v>350</v>
          </cell>
          <cell r="G37">
            <v>5.3</v>
          </cell>
        </row>
        <row r="40">
          <cell r="F40">
            <v>260</v>
          </cell>
        </row>
        <row r="41">
          <cell r="F41">
            <v>220</v>
          </cell>
        </row>
        <row r="42">
          <cell r="F42">
            <v>150</v>
          </cell>
        </row>
        <row r="43">
          <cell r="F43">
            <v>270</v>
          </cell>
          <cell r="G43">
            <v>4.8</v>
          </cell>
        </row>
      </sheetData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SHEET"/>
      <sheetName val="Инструкция"/>
      <sheetName val="Обновление"/>
      <sheetName val="Лог обновления"/>
      <sheetName val="Титульный"/>
      <sheetName val="tech"/>
      <sheetName val="Расчёт расходов"/>
      <sheetName val="modBasicRanges"/>
      <sheetName val="Расшифровка расходов"/>
      <sheetName val="П1.16"/>
      <sheetName val="П1.17"/>
      <sheetName val="П1.17.1"/>
      <sheetName val="Р.2.1"/>
      <sheetName val="Р.2.2"/>
      <sheetName val="НВВ по уровням"/>
      <sheetName val="Комментарии"/>
      <sheetName val="Проверка"/>
      <sheetName val="modProv"/>
      <sheetName val="REESTR_ORG"/>
      <sheetName val="REESTR"/>
      <sheetName val="modSheetTitle"/>
      <sheetName val="modfrmMethod"/>
      <sheetName val="modApplyMethods"/>
      <sheetName val="modSheetCostsDetails"/>
      <sheetName val="modCommonProv"/>
      <sheetName val="modProvGeneralProc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  <sheetName val="ENERGY.KTL.LT.CALC.NVV.NET"/>
    </sheetNames>
    <sheetDataSet>
      <sheetData sheetId="0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1">
        <row r="3">
          <cell r="B3" t="str">
            <v>Версия 5.1.7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равочники"/>
      <sheetName val="P2.1 У.Е. 2013"/>
      <sheetName val="P2.2 У.Е. 2013"/>
      <sheetName val="P2.1 У.Е. 2014"/>
      <sheetName val="P2.2 У.Е. 2014"/>
      <sheetName val="4 баланс ээ"/>
      <sheetName val="5 баланс мощности"/>
      <sheetName val="6 баланс мощности"/>
      <sheetName val="Расчет ВН1"/>
      <sheetName val="НВВ РСК 2013 (I полугодие)"/>
      <sheetName val="НВВ РСК 2013 (II полугодие)"/>
      <sheetName val="НВВ РСК 2013"/>
      <sheetName val="НВВ РСК 2014 (I полугодие)"/>
      <sheetName val="НВВ РСК 2014 (II полугодие)"/>
      <sheetName val="НВВ РСК 2014"/>
      <sheetName val="НВВ РСК последующие года"/>
      <sheetName val="Расчет котловых тарифов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6)"/>
      <sheetName val="Расчет НВВ по RAB (2012-2016)"/>
      <sheetName val="Расчет расх. по RAB (2012-2017)"/>
      <sheetName val="Расчет расх. по RAB (13-17)корр"/>
      <sheetName val="Расчет НВВ по RAB (13-17)корр"/>
      <sheetName val="Расчет расх. по RAB (14-18)согл"/>
      <sheetName val="Расчет НВВ по RAB (14-18)согл"/>
      <sheetName val="Расчет НВВ"/>
      <sheetName val="Расчет НВВ по RAB (2012-2017)"/>
      <sheetName val="Расчет НВВ РСК - индексация"/>
      <sheetName val="Индивидуальные тарифы"/>
      <sheetName val="Комментарии"/>
      <sheetName val="Проверка"/>
      <sheetName val="modHyp"/>
      <sheetName val="et_union_hor"/>
      <sheetName val="et_union_ver"/>
      <sheetName val="TEHSHEET"/>
      <sheetName val="AllSheetsInThisWorkbook"/>
      <sheetName val="REESTR_ORG"/>
      <sheetName val="modInstruction"/>
      <sheetName val="modUpdTemplMain"/>
      <sheetName val="modfrmCheckUpdates"/>
      <sheetName val="modfrmReestr"/>
      <sheetName val="modReestr"/>
      <sheetName val="modList01"/>
      <sheetName val="modList08"/>
      <sheetName val="modList16"/>
      <sheetName val="modList00"/>
    </sheetNames>
    <sheetDataSet>
      <sheetData sheetId="0"/>
      <sheetData sheetId="1"/>
      <sheetData sheetId="2"/>
      <sheetData sheetId="3">
        <row r="7">
          <cell r="F7" t="str">
            <v>Краснодарский край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03"/>
  <sheetViews>
    <sheetView tabSelected="1" workbookViewId="0">
      <selection activeCell="L101" sqref="L101"/>
    </sheetView>
  </sheetViews>
  <sheetFormatPr defaultRowHeight="15.75"/>
  <cols>
    <col min="1" max="1" width="5.5703125" style="2" customWidth="1"/>
    <col min="2" max="2" width="13.28515625" style="2" customWidth="1"/>
    <col min="3" max="3" width="17.140625" style="2" customWidth="1"/>
    <col min="4" max="4" width="43.28515625" style="2" customWidth="1"/>
    <col min="5" max="5" width="15" style="3" customWidth="1"/>
    <col min="6" max="6" width="18.28515625" style="2" customWidth="1"/>
    <col min="7" max="7" width="15.28515625" style="2" customWidth="1"/>
    <col min="8" max="8" width="19.85546875" style="2" customWidth="1"/>
    <col min="9" max="9" width="16.5703125" style="2" bestFit="1" customWidth="1"/>
    <col min="10" max="10" width="22" style="2" bestFit="1" customWidth="1"/>
    <col min="11" max="11" width="13.140625" style="2" bestFit="1" customWidth="1"/>
    <col min="12" max="12" width="22" style="2" bestFit="1" customWidth="1"/>
    <col min="13" max="13" width="16.42578125" style="2" bestFit="1" customWidth="1"/>
    <col min="14" max="14" width="17.85546875" style="2" bestFit="1" customWidth="1"/>
    <col min="15" max="256" width="9.140625" style="2"/>
    <col min="257" max="257" width="5.5703125" style="2" customWidth="1"/>
    <col min="258" max="258" width="13.28515625" style="2" customWidth="1"/>
    <col min="259" max="259" width="17.140625" style="2" customWidth="1"/>
    <col min="260" max="260" width="43.28515625" style="2" customWidth="1"/>
    <col min="261" max="261" width="15" style="2" customWidth="1"/>
    <col min="262" max="262" width="18.28515625" style="2" customWidth="1"/>
    <col min="263" max="263" width="15.28515625" style="2" customWidth="1"/>
    <col min="264" max="264" width="19.85546875" style="2" customWidth="1"/>
    <col min="265" max="265" width="16.5703125" style="2" bestFit="1" customWidth="1"/>
    <col min="266" max="266" width="22" style="2" bestFit="1" customWidth="1"/>
    <col min="267" max="267" width="13.140625" style="2" bestFit="1" customWidth="1"/>
    <col min="268" max="268" width="22" style="2" bestFit="1" customWidth="1"/>
    <col min="269" max="269" width="16.42578125" style="2" bestFit="1" customWidth="1"/>
    <col min="270" max="270" width="17.85546875" style="2" bestFit="1" customWidth="1"/>
    <col min="271" max="512" width="9.140625" style="2"/>
    <col min="513" max="513" width="5.5703125" style="2" customWidth="1"/>
    <col min="514" max="514" width="13.28515625" style="2" customWidth="1"/>
    <col min="515" max="515" width="17.140625" style="2" customWidth="1"/>
    <col min="516" max="516" width="43.28515625" style="2" customWidth="1"/>
    <col min="517" max="517" width="15" style="2" customWidth="1"/>
    <col min="518" max="518" width="18.28515625" style="2" customWidth="1"/>
    <col min="519" max="519" width="15.28515625" style="2" customWidth="1"/>
    <col min="520" max="520" width="19.85546875" style="2" customWidth="1"/>
    <col min="521" max="521" width="16.5703125" style="2" bestFit="1" customWidth="1"/>
    <col min="522" max="522" width="22" style="2" bestFit="1" customWidth="1"/>
    <col min="523" max="523" width="13.140625" style="2" bestFit="1" customWidth="1"/>
    <col min="524" max="524" width="22" style="2" bestFit="1" customWidth="1"/>
    <col min="525" max="525" width="16.42578125" style="2" bestFit="1" customWidth="1"/>
    <col min="526" max="526" width="17.85546875" style="2" bestFit="1" customWidth="1"/>
    <col min="527" max="768" width="9.140625" style="2"/>
    <col min="769" max="769" width="5.5703125" style="2" customWidth="1"/>
    <col min="770" max="770" width="13.28515625" style="2" customWidth="1"/>
    <col min="771" max="771" width="17.140625" style="2" customWidth="1"/>
    <col min="772" max="772" width="43.28515625" style="2" customWidth="1"/>
    <col min="773" max="773" width="15" style="2" customWidth="1"/>
    <col min="774" max="774" width="18.28515625" style="2" customWidth="1"/>
    <col min="775" max="775" width="15.28515625" style="2" customWidth="1"/>
    <col min="776" max="776" width="19.85546875" style="2" customWidth="1"/>
    <col min="777" max="777" width="16.5703125" style="2" bestFit="1" customWidth="1"/>
    <col min="778" max="778" width="22" style="2" bestFit="1" customWidth="1"/>
    <col min="779" max="779" width="13.140625" style="2" bestFit="1" customWidth="1"/>
    <col min="780" max="780" width="22" style="2" bestFit="1" customWidth="1"/>
    <col min="781" max="781" width="16.42578125" style="2" bestFit="1" customWidth="1"/>
    <col min="782" max="782" width="17.85546875" style="2" bestFit="1" customWidth="1"/>
    <col min="783" max="1024" width="9.140625" style="2"/>
    <col min="1025" max="1025" width="5.5703125" style="2" customWidth="1"/>
    <col min="1026" max="1026" width="13.28515625" style="2" customWidth="1"/>
    <col min="1027" max="1027" width="17.140625" style="2" customWidth="1"/>
    <col min="1028" max="1028" width="43.28515625" style="2" customWidth="1"/>
    <col min="1029" max="1029" width="15" style="2" customWidth="1"/>
    <col min="1030" max="1030" width="18.28515625" style="2" customWidth="1"/>
    <col min="1031" max="1031" width="15.28515625" style="2" customWidth="1"/>
    <col min="1032" max="1032" width="19.85546875" style="2" customWidth="1"/>
    <col min="1033" max="1033" width="16.5703125" style="2" bestFit="1" customWidth="1"/>
    <col min="1034" max="1034" width="22" style="2" bestFit="1" customWidth="1"/>
    <col min="1035" max="1035" width="13.140625" style="2" bestFit="1" customWidth="1"/>
    <col min="1036" max="1036" width="22" style="2" bestFit="1" customWidth="1"/>
    <col min="1037" max="1037" width="16.42578125" style="2" bestFit="1" customWidth="1"/>
    <col min="1038" max="1038" width="17.85546875" style="2" bestFit="1" customWidth="1"/>
    <col min="1039" max="1280" width="9.140625" style="2"/>
    <col min="1281" max="1281" width="5.5703125" style="2" customWidth="1"/>
    <col min="1282" max="1282" width="13.28515625" style="2" customWidth="1"/>
    <col min="1283" max="1283" width="17.140625" style="2" customWidth="1"/>
    <col min="1284" max="1284" width="43.28515625" style="2" customWidth="1"/>
    <col min="1285" max="1285" width="15" style="2" customWidth="1"/>
    <col min="1286" max="1286" width="18.28515625" style="2" customWidth="1"/>
    <col min="1287" max="1287" width="15.28515625" style="2" customWidth="1"/>
    <col min="1288" max="1288" width="19.85546875" style="2" customWidth="1"/>
    <col min="1289" max="1289" width="16.5703125" style="2" bestFit="1" customWidth="1"/>
    <col min="1290" max="1290" width="22" style="2" bestFit="1" customWidth="1"/>
    <col min="1291" max="1291" width="13.140625" style="2" bestFit="1" customWidth="1"/>
    <col min="1292" max="1292" width="22" style="2" bestFit="1" customWidth="1"/>
    <col min="1293" max="1293" width="16.42578125" style="2" bestFit="1" customWidth="1"/>
    <col min="1294" max="1294" width="17.85546875" style="2" bestFit="1" customWidth="1"/>
    <col min="1295" max="1536" width="9.140625" style="2"/>
    <col min="1537" max="1537" width="5.5703125" style="2" customWidth="1"/>
    <col min="1538" max="1538" width="13.28515625" style="2" customWidth="1"/>
    <col min="1539" max="1539" width="17.140625" style="2" customWidth="1"/>
    <col min="1540" max="1540" width="43.28515625" style="2" customWidth="1"/>
    <col min="1541" max="1541" width="15" style="2" customWidth="1"/>
    <col min="1542" max="1542" width="18.28515625" style="2" customWidth="1"/>
    <col min="1543" max="1543" width="15.28515625" style="2" customWidth="1"/>
    <col min="1544" max="1544" width="19.85546875" style="2" customWidth="1"/>
    <col min="1545" max="1545" width="16.5703125" style="2" bestFit="1" customWidth="1"/>
    <col min="1546" max="1546" width="22" style="2" bestFit="1" customWidth="1"/>
    <col min="1547" max="1547" width="13.140625" style="2" bestFit="1" customWidth="1"/>
    <col min="1548" max="1548" width="22" style="2" bestFit="1" customWidth="1"/>
    <col min="1549" max="1549" width="16.42578125" style="2" bestFit="1" customWidth="1"/>
    <col min="1550" max="1550" width="17.85546875" style="2" bestFit="1" customWidth="1"/>
    <col min="1551" max="1792" width="9.140625" style="2"/>
    <col min="1793" max="1793" width="5.5703125" style="2" customWidth="1"/>
    <col min="1794" max="1794" width="13.28515625" style="2" customWidth="1"/>
    <col min="1795" max="1795" width="17.140625" style="2" customWidth="1"/>
    <col min="1796" max="1796" width="43.28515625" style="2" customWidth="1"/>
    <col min="1797" max="1797" width="15" style="2" customWidth="1"/>
    <col min="1798" max="1798" width="18.28515625" style="2" customWidth="1"/>
    <col min="1799" max="1799" width="15.28515625" style="2" customWidth="1"/>
    <col min="1800" max="1800" width="19.85546875" style="2" customWidth="1"/>
    <col min="1801" max="1801" width="16.5703125" style="2" bestFit="1" customWidth="1"/>
    <col min="1802" max="1802" width="22" style="2" bestFit="1" customWidth="1"/>
    <col min="1803" max="1803" width="13.140625" style="2" bestFit="1" customWidth="1"/>
    <col min="1804" max="1804" width="22" style="2" bestFit="1" customWidth="1"/>
    <col min="1805" max="1805" width="16.42578125" style="2" bestFit="1" customWidth="1"/>
    <col min="1806" max="1806" width="17.85546875" style="2" bestFit="1" customWidth="1"/>
    <col min="1807" max="2048" width="9.140625" style="2"/>
    <col min="2049" max="2049" width="5.5703125" style="2" customWidth="1"/>
    <col min="2050" max="2050" width="13.28515625" style="2" customWidth="1"/>
    <col min="2051" max="2051" width="17.140625" style="2" customWidth="1"/>
    <col min="2052" max="2052" width="43.28515625" style="2" customWidth="1"/>
    <col min="2053" max="2053" width="15" style="2" customWidth="1"/>
    <col min="2054" max="2054" width="18.28515625" style="2" customWidth="1"/>
    <col min="2055" max="2055" width="15.28515625" style="2" customWidth="1"/>
    <col min="2056" max="2056" width="19.85546875" style="2" customWidth="1"/>
    <col min="2057" max="2057" width="16.5703125" style="2" bestFit="1" customWidth="1"/>
    <col min="2058" max="2058" width="22" style="2" bestFit="1" customWidth="1"/>
    <col min="2059" max="2059" width="13.140625" style="2" bestFit="1" customWidth="1"/>
    <col min="2060" max="2060" width="22" style="2" bestFit="1" customWidth="1"/>
    <col min="2061" max="2061" width="16.42578125" style="2" bestFit="1" customWidth="1"/>
    <col min="2062" max="2062" width="17.85546875" style="2" bestFit="1" customWidth="1"/>
    <col min="2063" max="2304" width="9.140625" style="2"/>
    <col min="2305" max="2305" width="5.5703125" style="2" customWidth="1"/>
    <col min="2306" max="2306" width="13.28515625" style="2" customWidth="1"/>
    <col min="2307" max="2307" width="17.140625" style="2" customWidth="1"/>
    <col min="2308" max="2308" width="43.28515625" style="2" customWidth="1"/>
    <col min="2309" max="2309" width="15" style="2" customWidth="1"/>
    <col min="2310" max="2310" width="18.28515625" style="2" customWidth="1"/>
    <col min="2311" max="2311" width="15.28515625" style="2" customWidth="1"/>
    <col min="2312" max="2312" width="19.85546875" style="2" customWidth="1"/>
    <col min="2313" max="2313" width="16.5703125" style="2" bestFit="1" customWidth="1"/>
    <col min="2314" max="2314" width="22" style="2" bestFit="1" customWidth="1"/>
    <col min="2315" max="2315" width="13.140625" style="2" bestFit="1" customWidth="1"/>
    <col min="2316" max="2316" width="22" style="2" bestFit="1" customWidth="1"/>
    <col min="2317" max="2317" width="16.42578125" style="2" bestFit="1" customWidth="1"/>
    <col min="2318" max="2318" width="17.85546875" style="2" bestFit="1" customWidth="1"/>
    <col min="2319" max="2560" width="9.140625" style="2"/>
    <col min="2561" max="2561" width="5.5703125" style="2" customWidth="1"/>
    <col min="2562" max="2562" width="13.28515625" style="2" customWidth="1"/>
    <col min="2563" max="2563" width="17.140625" style="2" customWidth="1"/>
    <col min="2564" max="2564" width="43.28515625" style="2" customWidth="1"/>
    <col min="2565" max="2565" width="15" style="2" customWidth="1"/>
    <col min="2566" max="2566" width="18.28515625" style="2" customWidth="1"/>
    <col min="2567" max="2567" width="15.28515625" style="2" customWidth="1"/>
    <col min="2568" max="2568" width="19.85546875" style="2" customWidth="1"/>
    <col min="2569" max="2569" width="16.5703125" style="2" bestFit="1" customWidth="1"/>
    <col min="2570" max="2570" width="22" style="2" bestFit="1" customWidth="1"/>
    <col min="2571" max="2571" width="13.140625" style="2" bestFit="1" customWidth="1"/>
    <col min="2572" max="2572" width="22" style="2" bestFit="1" customWidth="1"/>
    <col min="2573" max="2573" width="16.42578125" style="2" bestFit="1" customWidth="1"/>
    <col min="2574" max="2574" width="17.85546875" style="2" bestFit="1" customWidth="1"/>
    <col min="2575" max="2816" width="9.140625" style="2"/>
    <col min="2817" max="2817" width="5.5703125" style="2" customWidth="1"/>
    <col min="2818" max="2818" width="13.28515625" style="2" customWidth="1"/>
    <col min="2819" max="2819" width="17.140625" style="2" customWidth="1"/>
    <col min="2820" max="2820" width="43.28515625" style="2" customWidth="1"/>
    <col min="2821" max="2821" width="15" style="2" customWidth="1"/>
    <col min="2822" max="2822" width="18.28515625" style="2" customWidth="1"/>
    <col min="2823" max="2823" width="15.28515625" style="2" customWidth="1"/>
    <col min="2824" max="2824" width="19.85546875" style="2" customWidth="1"/>
    <col min="2825" max="2825" width="16.5703125" style="2" bestFit="1" customWidth="1"/>
    <col min="2826" max="2826" width="22" style="2" bestFit="1" customWidth="1"/>
    <col min="2827" max="2827" width="13.140625" style="2" bestFit="1" customWidth="1"/>
    <col min="2828" max="2828" width="22" style="2" bestFit="1" customWidth="1"/>
    <col min="2829" max="2829" width="16.42578125" style="2" bestFit="1" customWidth="1"/>
    <col min="2830" max="2830" width="17.85546875" style="2" bestFit="1" customWidth="1"/>
    <col min="2831" max="3072" width="9.140625" style="2"/>
    <col min="3073" max="3073" width="5.5703125" style="2" customWidth="1"/>
    <col min="3074" max="3074" width="13.28515625" style="2" customWidth="1"/>
    <col min="3075" max="3075" width="17.140625" style="2" customWidth="1"/>
    <col min="3076" max="3076" width="43.28515625" style="2" customWidth="1"/>
    <col min="3077" max="3077" width="15" style="2" customWidth="1"/>
    <col min="3078" max="3078" width="18.28515625" style="2" customWidth="1"/>
    <col min="3079" max="3079" width="15.28515625" style="2" customWidth="1"/>
    <col min="3080" max="3080" width="19.85546875" style="2" customWidth="1"/>
    <col min="3081" max="3081" width="16.5703125" style="2" bestFit="1" customWidth="1"/>
    <col min="3082" max="3082" width="22" style="2" bestFit="1" customWidth="1"/>
    <col min="3083" max="3083" width="13.140625" style="2" bestFit="1" customWidth="1"/>
    <col min="3084" max="3084" width="22" style="2" bestFit="1" customWidth="1"/>
    <col min="3085" max="3085" width="16.42578125" style="2" bestFit="1" customWidth="1"/>
    <col min="3086" max="3086" width="17.85546875" style="2" bestFit="1" customWidth="1"/>
    <col min="3087" max="3328" width="9.140625" style="2"/>
    <col min="3329" max="3329" width="5.5703125" style="2" customWidth="1"/>
    <col min="3330" max="3330" width="13.28515625" style="2" customWidth="1"/>
    <col min="3331" max="3331" width="17.140625" style="2" customWidth="1"/>
    <col min="3332" max="3332" width="43.28515625" style="2" customWidth="1"/>
    <col min="3333" max="3333" width="15" style="2" customWidth="1"/>
    <col min="3334" max="3334" width="18.28515625" style="2" customWidth="1"/>
    <col min="3335" max="3335" width="15.28515625" style="2" customWidth="1"/>
    <col min="3336" max="3336" width="19.85546875" style="2" customWidth="1"/>
    <col min="3337" max="3337" width="16.5703125" style="2" bestFit="1" customWidth="1"/>
    <col min="3338" max="3338" width="22" style="2" bestFit="1" customWidth="1"/>
    <col min="3339" max="3339" width="13.140625" style="2" bestFit="1" customWidth="1"/>
    <col min="3340" max="3340" width="22" style="2" bestFit="1" customWidth="1"/>
    <col min="3341" max="3341" width="16.42578125" style="2" bestFit="1" customWidth="1"/>
    <col min="3342" max="3342" width="17.85546875" style="2" bestFit="1" customWidth="1"/>
    <col min="3343" max="3584" width="9.140625" style="2"/>
    <col min="3585" max="3585" width="5.5703125" style="2" customWidth="1"/>
    <col min="3586" max="3586" width="13.28515625" style="2" customWidth="1"/>
    <col min="3587" max="3587" width="17.140625" style="2" customWidth="1"/>
    <col min="3588" max="3588" width="43.28515625" style="2" customWidth="1"/>
    <col min="3589" max="3589" width="15" style="2" customWidth="1"/>
    <col min="3590" max="3590" width="18.28515625" style="2" customWidth="1"/>
    <col min="3591" max="3591" width="15.28515625" style="2" customWidth="1"/>
    <col min="3592" max="3592" width="19.85546875" style="2" customWidth="1"/>
    <col min="3593" max="3593" width="16.5703125" style="2" bestFit="1" customWidth="1"/>
    <col min="3594" max="3594" width="22" style="2" bestFit="1" customWidth="1"/>
    <col min="3595" max="3595" width="13.140625" style="2" bestFit="1" customWidth="1"/>
    <col min="3596" max="3596" width="22" style="2" bestFit="1" customWidth="1"/>
    <col min="3597" max="3597" width="16.42578125" style="2" bestFit="1" customWidth="1"/>
    <col min="3598" max="3598" width="17.85546875" style="2" bestFit="1" customWidth="1"/>
    <col min="3599" max="3840" width="9.140625" style="2"/>
    <col min="3841" max="3841" width="5.5703125" style="2" customWidth="1"/>
    <col min="3842" max="3842" width="13.28515625" style="2" customWidth="1"/>
    <col min="3843" max="3843" width="17.140625" style="2" customWidth="1"/>
    <col min="3844" max="3844" width="43.28515625" style="2" customWidth="1"/>
    <col min="3845" max="3845" width="15" style="2" customWidth="1"/>
    <col min="3846" max="3846" width="18.28515625" style="2" customWidth="1"/>
    <col min="3847" max="3847" width="15.28515625" style="2" customWidth="1"/>
    <col min="3848" max="3848" width="19.85546875" style="2" customWidth="1"/>
    <col min="3849" max="3849" width="16.5703125" style="2" bestFit="1" customWidth="1"/>
    <col min="3850" max="3850" width="22" style="2" bestFit="1" customWidth="1"/>
    <col min="3851" max="3851" width="13.140625" style="2" bestFit="1" customWidth="1"/>
    <col min="3852" max="3852" width="22" style="2" bestFit="1" customWidth="1"/>
    <col min="3853" max="3853" width="16.42578125" style="2" bestFit="1" customWidth="1"/>
    <col min="3854" max="3854" width="17.85546875" style="2" bestFit="1" customWidth="1"/>
    <col min="3855" max="4096" width="9.140625" style="2"/>
    <col min="4097" max="4097" width="5.5703125" style="2" customWidth="1"/>
    <col min="4098" max="4098" width="13.28515625" style="2" customWidth="1"/>
    <col min="4099" max="4099" width="17.140625" style="2" customWidth="1"/>
    <col min="4100" max="4100" width="43.28515625" style="2" customWidth="1"/>
    <col min="4101" max="4101" width="15" style="2" customWidth="1"/>
    <col min="4102" max="4102" width="18.28515625" style="2" customWidth="1"/>
    <col min="4103" max="4103" width="15.28515625" style="2" customWidth="1"/>
    <col min="4104" max="4104" width="19.85546875" style="2" customWidth="1"/>
    <col min="4105" max="4105" width="16.5703125" style="2" bestFit="1" customWidth="1"/>
    <col min="4106" max="4106" width="22" style="2" bestFit="1" customWidth="1"/>
    <col min="4107" max="4107" width="13.140625" style="2" bestFit="1" customWidth="1"/>
    <col min="4108" max="4108" width="22" style="2" bestFit="1" customWidth="1"/>
    <col min="4109" max="4109" width="16.42578125" style="2" bestFit="1" customWidth="1"/>
    <col min="4110" max="4110" width="17.85546875" style="2" bestFit="1" customWidth="1"/>
    <col min="4111" max="4352" width="9.140625" style="2"/>
    <col min="4353" max="4353" width="5.5703125" style="2" customWidth="1"/>
    <col min="4354" max="4354" width="13.28515625" style="2" customWidth="1"/>
    <col min="4355" max="4355" width="17.140625" style="2" customWidth="1"/>
    <col min="4356" max="4356" width="43.28515625" style="2" customWidth="1"/>
    <col min="4357" max="4357" width="15" style="2" customWidth="1"/>
    <col min="4358" max="4358" width="18.28515625" style="2" customWidth="1"/>
    <col min="4359" max="4359" width="15.28515625" style="2" customWidth="1"/>
    <col min="4360" max="4360" width="19.85546875" style="2" customWidth="1"/>
    <col min="4361" max="4361" width="16.5703125" style="2" bestFit="1" customWidth="1"/>
    <col min="4362" max="4362" width="22" style="2" bestFit="1" customWidth="1"/>
    <col min="4363" max="4363" width="13.140625" style="2" bestFit="1" customWidth="1"/>
    <col min="4364" max="4364" width="22" style="2" bestFit="1" customWidth="1"/>
    <col min="4365" max="4365" width="16.42578125" style="2" bestFit="1" customWidth="1"/>
    <col min="4366" max="4366" width="17.85546875" style="2" bestFit="1" customWidth="1"/>
    <col min="4367" max="4608" width="9.140625" style="2"/>
    <col min="4609" max="4609" width="5.5703125" style="2" customWidth="1"/>
    <col min="4610" max="4610" width="13.28515625" style="2" customWidth="1"/>
    <col min="4611" max="4611" width="17.140625" style="2" customWidth="1"/>
    <col min="4612" max="4612" width="43.28515625" style="2" customWidth="1"/>
    <col min="4613" max="4613" width="15" style="2" customWidth="1"/>
    <col min="4614" max="4614" width="18.28515625" style="2" customWidth="1"/>
    <col min="4615" max="4615" width="15.28515625" style="2" customWidth="1"/>
    <col min="4616" max="4616" width="19.85546875" style="2" customWidth="1"/>
    <col min="4617" max="4617" width="16.5703125" style="2" bestFit="1" customWidth="1"/>
    <col min="4618" max="4618" width="22" style="2" bestFit="1" customWidth="1"/>
    <col min="4619" max="4619" width="13.140625" style="2" bestFit="1" customWidth="1"/>
    <col min="4620" max="4620" width="22" style="2" bestFit="1" customWidth="1"/>
    <col min="4621" max="4621" width="16.42578125" style="2" bestFit="1" customWidth="1"/>
    <col min="4622" max="4622" width="17.85546875" style="2" bestFit="1" customWidth="1"/>
    <col min="4623" max="4864" width="9.140625" style="2"/>
    <col min="4865" max="4865" width="5.5703125" style="2" customWidth="1"/>
    <col min="4866" max="4866" width="13.28515625" style="2" customWidth="1"/>
    <col min="4867" max="4867" width="17.140625" style="2" customWidth="1"/>
    <col min="4868" max="4868" width="43.28515625" style="2" customWidth="1"/>
    <col min="4869" max="4869" width="15" style="2" customWidth="1"/>
    <col min="4870" max="4870" width="18.28515625" style="2" customWidth="1"/>
    <col min="4871" max="4871" width="15.28515625" style="2" customWidth="1"/>
    <col min="4872" max="4872" width="19.85546875" style="2" customWidth="1"/>
    <col min="4873" max="4873" width="16.5703125" style="2" bestFit="1" customWidth="1"/>
    <col min="4874" max="4874" width="22" style="2" bestFit="1" customWidth="1"/>
    <col min="4875" max="4875" width="13.140625" style="2" bestFit="1" customWidth="1"/>
    <col min="4876" max="4876" width="22" style="2" bestFit="1" customWidth="1"/>
    <col min="4877" max="4877" width="16.42578125" style="2" bestFit="1" customWidth="1"/>
    <col min="4878" max="4878" width="17.85546875" style="2" bestFit="1" customWidth="1"/>
    <col min="4879" max="5120" width="9.140625" style="2"/>
    <col min="5121" max="5121" width="5.5703125" style="2" customWidth="1"/>
    <col min="5122" max="5122" width="13.28515625" style="2" customWidth="1"/>
    <col min="5123" max="5123" width="17.140625" style="2" customWidth="1"/>
    <col min="5124" max="5124" width="43.28515625" style="2" customWidth="1"/>
    <col min="5125" max="5125" width="15" style="2" customWidth="1"/>
    <col min="5126" max="5126" width="18.28515625" style="2" customWidth="1"/>
    <col min="5127" max="5127" width="15.28515625" style="2" customWidth="1"/>
    <col min="5128" max="5128" width="19.85546875" style="2" customWidth="1"/>
    <col min="5129" max="5129" width="16.5703125" style="2" bestFit="1" customWidth="1"/>
    <col min="5130" max="5130" width="22" style="2" bestFit="1" customWidth="1"/>
    <col min="5131" max="5131" width="13.140625" style="2" bestFit="1" customWidth="1"/>
    <col min="5132" max="5132" width="22" style="2" bestFit="1" customWidth="1"/>
    <col min="5133" max="5133" width="16.42578125" style="2" bestFit="1" customWidth="1"/>
    <col min="5134" max="5134" width="17.85546875" style="2" bestFit="1" customWidth="1"/>
    <col min="5135" max="5376" width="9.140625" style="2"/>
    <col min="5377" max="5377" width="5.5703125" style="2" customWidth="1"/>
    <col min="5378" max="5378" width="13.28515625" style="2" customWidth="1"/>
    <col min="5379" max="5379" width="17.140625" style="2" customWidth="1"/>
    <col min="5380" max="5380" width="43.28515625" style="2" customWidth="1"/>
    <col min="5381" max="5381" width="15" style="2" customWidth="1"/>
    <col min="5382" max="5382" width="18.28515625" style="2" customWidth="1"/>
    <col min="5383" max="5383" width="15.28515625" style="2" customWidth="1"/>
    <col min="5384" max="5384" width="19.85546875" style="2" customWidth="1"/>
    <col min="5385" max="5385" width="16.5703125" style="2" bestFit="1" customWidth="1"/>
    <col min="5386" max="5386" width="22" style="2" bestFit="1" customWidth="1"/>
    <col min="5387" max="5387" width="13.140625" style="2" bestFit="1" customWidth="1"/>
    <col min="5388" max="5388" width="22" style="2" bestFit="1" customWidth="1"/>
    <col min="5389" max="5389" width="16.42578125" style="2" bestFit="1" customWidth="1"/>
    <col min="5390" max="5390" width="17.85546875" style="2" bestFit="1" customWidth="1"/>
    <col min="5391" max="5632" width="9.140625" style="2"/>
    <col min="5633" max="5633" width="5.5703125" style="2" customWidth="1"/>
    <col min="5634" max="5634" width="13.28515625" style="2" customWidth="1"/>
    <col min="5635" max="5635" width="17.140625" style="2" customWidth="1"/>
    <col min="5636" max="5636" width="43.28515625" style="2" customWidth="1"/>
    <col min="5637" max="5637" width="15" style="2" customWidth="1"/>
    <col min="5638" max="5638" width="18.28515625" style="2" customWidth="1"/>
    <col min="5639" max="5639" width="15.28515625" style="2" customWidth="1"/>
    <col min="5640" max="5640" width="19.85546875" style="2" customWidth="1"/>
    <col min="5641" max="5641" width="16.5703125" style="2" bestFit="1" customWidth="1"/>
    <col min="5642" max="5642" width="22" style="2" bestFit="1" customWidth="1"/>
    <col min="5643" max="5643" width="13.140625" style="2" bestFit="1" customWidth="1"/>
    <col min="5644" max="5644" width="22" style="2" bestFit="1" customWidth="1"/>
    <col min="5645" max="5645" width="16.42578125" style="2" bestFit="1" customWidth="1"/>
    <col min="5646" max="5646" width="17.85546875" style="2" bestFit="1" customWidth="1"/>
    <col min="5647" max="5888" width="9.140625" style="2"/>
    <col min="5889" max="5889" width="5.5703125" style="2" customWidth="1"/>
    <col min="5890" max="5890" width="13.28515625" style="2" customWidth="1"/>
    <col min="5891" max="5891" width="17.140625" style="2" customWidth="1"/>
    <col min="5892" max="5892" width="43.28515625" style="2" customWidth="1"/>
    <col min="5893" max="5893" width="15" style="2" customWidth="1"/>
    <col min="5894" max="5894" width="18.28515625" style="2" customWidth="1"/>
    <col min="5895" max="5895" width="15.28515625" style="2" customWidth="1"/>
    <col min="5896" max="5896" width="19.85546875" style="2" customWidth="1"/>
    <col min="5897" max="5897" width="16.5703125" style="2" bestFit="1" customWidth="1"/>
    <col min="5898" max="5898" width="22" style="2" bestFit="1" customWidth="1"/>
    <col min="5899" max="5899" width="13.140625" style="2" bestFit="1" customWidth="1"/>
    <col min="5900" max="5900" width="22" style="2" bestFit="1" customWidth="1"/>
    <col min="5901" max="5901" width="16.42578125" style="2" bestFit="1" customWidth="1"/>
    <col min="5902" max="5902" width="17.85546875" style="2" bestFit="1" customWidth="1"/>
    <col min="5903" max="6144" width="9.140625" style="2"/>
    <col min="6145" max="6145" width="5.5703125" style="2" customWidth="1"/>
    <col min="6146" max="6146" width="13.28515625" style="2" customWidth="1"/>
    <col min="6147" max="6147" width="17.140625" style="2" customWidth="1"/>
    <col min="6148" max="6148" width="43.28515625" style="2" customWidth="1"/>
    <col min="6149" max="6149" width="15" style="2" customWidth="1"/>
    <col min="6150" max="6150" width="18.28515625" style="2" customWidth="1"/>
    <col min="6151" max="6151" width="15.28515625" style="2" customWidth="1"/>
    <col min="6152" max="6152" width="19.85546875" style="2" customWidth="1"/>
    <col min="6153" max="6153" width="16.5703125" style="2" bestFit="1" customWidth="1"/>
    <col min="6154" max="6154" width="22" style="2" bestFit="1" customWidth="1"/>
    <col min="6155" max="6155" width="13.140625" style="2" bestFit="1" customWidth="1"/>
    <col min="6156" max="6156" width="22" style="2" bestFit="1" customWidth="1"/>
    <col min="6157" max="6157" width="16.42578125" style="2" bestFit="1" customWidth="1"/>
    <col min="6158" max="6158" width="17.85546875" style="2" bestFit="1" customWidth="1"/>
    <col min="6159" max="6400" width="9.140625" style="2"/>
    <col min="6401" max="6401" width="5.5703125" style="2" customWidth="1"/>
    <col min="6402" max="6402" width="13.28515625" style="2" customWidth="1"/>
    <col min="6403" max="6403" width="17.140625" style="2" customWidth="1"/>
    <col min="6404" max="6404" width="43.28515625" style="2" customWidth="1"/>
    <col min="6405" max="6405" width="15" style="2" customWidth="1"/>
    <col min="6406" max="6406" width="18.28515625" style="2" customWidth="1"/>
    <col min="6407" max="6407" width="15.28515625" style="2" customWidth="1"/>
    <col min="6408" max="6408" width="19.85546875" style="2" customWidth="1"/>
    <col min="6409" max="6409" width="16.5703125" style="2" bestFit="1" customWidth="1"/>
    <col min="6410" max="6410" width="22" style="2" bestFit="1" customWidth="1"/>
    <col min="6411" max="6411" width="13.140625" style="2" bestFit="1" customWidth="1"/>
    <col min="6412" max="6412" width="22" style="2" bestFit="1" customWidth="1"/>
    <col min="6413" max="6413" width="16.42578125" style="2" bestFit="1" customWidth="1"/>
    <col min="6414" max="6414" width="17.85546875" style="2" bestFit="1" customWidth="1"/>
    <col min="6415" max="6656" width="9.140625" style="2"/>
    <col min="6657" max="6657" width="5.5703125" style="2" customWidth="1"/>
    <col min="6658" max="6658" width="13.28515625" style="2" customWidth="1"/>
    <col min="6659" max="6659" width="17.140625" style="2" customWidth="1"/>
    <col min="6660" max="6660" width="43.28515625" style="2" customWidth="1"/>
    <col min="6661" max="6661" width="15" style="2" customWidth="1"/>
    <col min="6662" max="6662" width="18.28515625" style="2" customWidth="1"/>
    <col min="6663" max="6663" width="15.28515625" style="2" customWidth="1"/>
    <col min="6664" max="6664" width="19.85546875" style="2" customWidth="1"/>
    <col min="6665" max="6665" width="16.5703125" style="2" bestFit="1" customWidth="1"/>
    <col min="6666" max="6666" width="22" style="2" bestFit="1" customWidth="1"/>
    <col min="6667" max="6667" width="13.140625" style="2" bestFit="1" customWidth="1"/>
    <col min="6668" max="6668" width="22" style="2" bestFit="1" customWidth="1"/>
    <col min="6669" max="6669" width="16.42578125" style="2" bestFit="1" customWidth="1"/>
    <col min="6670" max="6670" width="17.85546875" style="2" bestFit="1" customWidth="1"/>
    <col min="6671" max="6912" width="9.140625" style="2"/>
    <col min="6913" max="6913" width="5.5703125" style="2" customWidth="1"/>
    <col min="6914" max="6914" width="13.28515625" style="2" customWidth="1"/>
    <col min="6915" max="6915" width="17.140625" style="2" customWidth="1"/>
    <col min="6916" max="6916" width="43.28515625" style="2" customWidth="1"/>
    <col min="6917" max="6917" width="15" style="2" customWidth="1"/>
    <col min="6918" max="6918" width="18.28515625" style="2" customWidth="1"/>
    <col min="6919" max="6919" width="15.28515625" style="2" customWidth="1"/>
    <col min="6920" max="6920" width="19.85546875" style="2" customWidth="1"/>
    <col min="6921" max="6921" width="16.5703125" style="2" bestFit="1" customWidth="1"/>
    <col min="6922" max="6922" width="22" style="2" bestFit="1" customWidth="1"/>
    <col min="6923" max="6923" width="13.140625" style="2" bestFit="1" customWidth="1"/>
    <col min="6924" max="6924" width="22" style="2" bestFit="1" customWidth="1"/>
    <col min="6925" max="6925" width="16.42578125" style="2" bestFit="1" customWidth="1"/>
    <col min="6926" max="6926" width="17.85546875" style="2" bestFit="1" customWidth="1"/>
    <col min="6927" max="7168" width="9.140625" style="2"/>
    <col min="7169" max="7169" width="5.5703125" style="2" customWidth="1"/>
    <col min="7170" max="7170" width="13.28515625" style="2" customWidth="1"/>
    <col min="7171" max="7171" width="17.140625" style="2" customWidth="1"/>
    <col min="7172" max="7172" width="43.28515625" style="2" customWidth="1"/>
    <col min="7173" max="7173" width="15" style="2" customWidth="1"/>
    <col min="7174" max="7174" width="18.28515625" style="2" customWidth="1"/>
    <col min="7175" max="7175" width="15.28515625" style="2" customWidth="1"/>
    <col min="7176" max="7176" width="19.85546875" style="2" customWidth="1"/>
    <col min="7177" max="7177" width="16.5703125" style="2" bestFit="1" customWidth="1"/>
    <col min="7178" max="7178" width="22" style="2" bestFit="1" customWidth="1"/>
    <col min="7179" max="7179" width="13.140625" style="2" bestFit="1" customWidth="1"/>
    <col min="7180" max="7180" width="22" style="2" bestFit="1" customWidth="1"/>
    <col min="7181" max="7181" width="16.42578125" style="2" bestFit="1" customWidth="1"/>
    <col min="7182" max="7182" width="17.85546875" style="2" bestFit="1" customWidth="1"/>
    <col min="7183" max="7424" width="9.140625" style="2"/>
    <col min="7425" max="7425" width="5.5703125" style="2" customWidth="1"/>
    <col min="7426" max="7426" width="13.28515625" style="2" customWidth="1"/>
    <col min="7427" max="7427" width="17.140625" style="2" customWidth="1"/>
    <col min="7428" max="7428" width="43.28515625" style="2" customWidth="1"/>
    <col min="7429" max="7429" width="15" style="2" customWidth="1"/>
    <col min="7430" max="7430" width="18.28515625" style="2" customWidth="1"/>
    <col min="7431" max="7431" width="15.28515625" style="2" customWidth="1"/>
    <col min="7432" max="7432" width="19.85546875" style="2" customWidth="1"/>
    <col min="7433" max="7433" width="16.5703125" style="2" bestFit="1" customWidth="1"/>
    <col min="7434" max="7434" width="22" style="2" bestFit="1" customWidth="1"/>
    <col min="7435" max="7435" width="13.140625" style="2" bestFit="1" customWidth="1"/>
    <col min="7436" max="7436" width="22" style="2" bestFit="1" customWidth="1"/>
    <col min="7437" max="7437" width="16.42578125" style="2" bestFit="1" customWidth="1"/>
    <col min="7438" max="7438" width="17.85546875" style="2" bestFit="1" customWidth="1"/>
    <col min="7439" max="7680" width="9.140625" style="2"/>
    <col min="7681" max="7681" width="5.5703125" style="2" customWidth="1"/>
    <col min="7682" max="7682" width="13.28515625" style="2" customWidth="1"/>
    <col min="7683" max="7683" width="17.140625" style="2" customWidth="1"/>
    <col min="7684" max="7684" width="43.28515625" style="2" customWidth="1"/>
    <col min="7685" max="7685" width="15" style="2" customWidth="1"/>
    <col min="7686" max="7686" width="18.28515625" style="2" customWidth="1"/>
    <col min="7687" max="7687" width="15.28515625" style="2" customWidth="1"/>
    <col min="7688" max="7688" width="19.85546875" style="2" customWidth="1"/>
    <col min="7689" max="7689" width="16.5703125" style="2" bestFit="1" customWidth="1"/>
    <col min="7690" max="7690" width="22" style="2" bestFit="1" customWidth="1"/>
    <col min="7691" max="7691" width="13.140625" style="2" bestFit="1" customWidth="1"/>
    <col min="7692" max="7692" width="22" style="2" bestFit="1" customWidth="1"/>
    <col min="7693" max="7693" width="16.42578125" style="2" bestFit="1" customWidth="1"/>
    <col min="7694" max="7694" width="17.85546875" style="2" bestFit="1" customWidth="1"/>
    <col min="7695" max="7936" width="9.140625" style="2"/>
    <col min="7937" max="7937" width="5.5703125" style="2" customWidth="1"/>
    <col min="7938" max="7938" width="13.28515625" style="2" customWidth="1"/>
    <col min="7939" max="7939" width="17.140625" style="2" customWidth="1"/>
    <col min="7940" max="7940" width="43.28515625" style="2" customWidth="1"/>
    <col min="7941" max="7941" width="15" style="2" customWidth="1"/>
    <col min="7942" max="7942" width="18.28515625" style="2" customWidth="1"/>
    <col min="7943" max="7943" width="15.28515625" style="2" customWidth="1"/>
    <col min="7944" max="7944" width="19.85546875" style="2" customWidth="1"/>
    <col min="7945" max="7945" width="16.5703125" style="2" bestFit="1" customWidth="1"/>
    <col min="7946" max="7946" width="22" style="2" bestFit="1" customWidth="1"/>
    <col min="7947" max="7947" width="13.140625" style="2" bestFit="1" customWidth="1"/>
    <col min="7948" max="7948" width="22" style="2" bestFit="1" customWidth="1"/>
    <col min="7949" max="7949" width="16.42578125" style="2" bestFit="1" customWidth="1"/>
    <col min="7950" max="7950" width="17.85546875" style="2" bestFit="1" customWidth="1"/>
    <col min="7951" max="8192" width="9.140625" style="2"/>
    <col min="8193" max="8193" width="5.5703125" style="2" customWidth="1"/>
    <col min="8194" max="8194" width="13.28515625" style="2" customWidth="1"/>
    <col min="8195" max="8195" width="17.140625" style="2" customWidth="1"/>
    <col min="8196" max="8196" width="43.28515625" style="2" customWidth="1"/>
    <col min="8197" max="8197" width="15" style="2" customWidth="1"/>
    <col min="8198" max="8198" width="18.28515625" style="2" customWidth="1"/>
    <col min="8199" max="8199" width="15.28515625" style="2" customWidth="1"/>
    <col min="8200" max="8200" width="19.85546875" style="2" customWidth="1"/>
    <col min="8201" max="8201" width="16.5703125" style="2" bestFit="1" customWidth="1"/>
    <col min="8202" max="8202" width="22" style="2" bestFit="1" customWidth="1"/>
    <col min="8203" max="8203" width="13.140625" style="2" bestFit="1" customWidth="1"/>
    <col min="8204" max="8204" width="22" style="2" bestFit="1" customWidth="1"/>
    <col min="8205" max="8205" width="16.42578125" style="2" bestFit="1" customWidth="1"/>
    <col min="8206" max="8206" width="17.85546875" style="2" bestFit="1" customWidth="1"/>
    <col min="8207" max="8448" width="9.140625" style="2"/>
    <col min="8449" max="8449" width="5.5703125" style="2" customWidth="1"/>
    <col min="8450" max="8450" width="13.28515625" style="2" customWidth="1"/>
    <col min="8451" max="8451" width="17.140625" style="2" customWidth="1"/>
    <col min="8452" max="8452" width="43.28515625" style="2" customWidth="1"/>
    <col min="8453" max="8453" width="15" style="2" customWidth="1"/>
    <col min="8454" max="8454" width="18.28515625" style="2" customWidth="1"/>
    <col min="8455" max="8455" width="15.28515625" style="2" customWidth="1"/>
    <col min="8456" max="8456" width="19.85546875" style="2" customWidth="1"/>
    <col min="8457" max="8457" width="16.5703125" style="2" bestFit="1" customWidth="1"/>
    <col min="8458" max="8458" width="22" style="2" bestFit="1" customWidth="1"/>
    <col min="8459" max="8459" width="13.140625" style="2" bestFit="1" customWidth="1"/>
    <col min="8460" max="8460" width="22" style="2" bestFit="1" customWidth="1"/>
    <col min="8461" max="8461" width="16.42578125" style="2" bestFit="1" customWidth="1"/>
    <col min="8462" max="8462" width="17.85546875" style="2" bestFit="1" customWidth="1"/>
    <col min="8463" max="8704" width="9.140625" style="2"/>
    <col min="8705" max="8705" width="5.5703125" style="2" customWidth="1"/>
    <col min="8706" max="8706" width="13.28515625" style="2" customWidth="1"/>
    <col min="8707" max="8707" width="17.140625" style="2" customWidth="1"/>
    <col min="8708" max="8708" width="43.28515625" style="2" customWidth="1"/>
    <col min="8709" max="8709" width="15" style="2" customWidth="1"/>
    <col min="8710" max="8710" width="18.28515625" style="2" customWidth="1"/>
    <col min="8711" max="8711" width="15.28515625" style="2" customWidth="1"/>
    <col min="8712" max="8712" width="19.85546875" style="2" customWidth="1"/>
    <col min="8713" max="8713" width="16.5703125" style="2" bestFit="1" customWidth="1"/>
    <col min="8714" max="8714" width="22" style="2" bestFit="1" customWidth="1"/>
    <col min="8715" max="8715" width="13.140625" style="2" bestFit="1" customWidth="1"/>
    <col min="8716" max="8716" width="22" style="2" bestFit="1" customWidth="1"/>
    <col min="8717" max="8717" width="16.42578125" style="2" bestFit="1" customWidth="1"/>
    <col min="8718" max="8718" width="17.85546875" style="2" bestFit="1" customWidth="1"/>
    <col min="8719" max="8960" width="9.140625" style="2"/>
    <col min="8961" max="8961" width="5.5703125" style="2" customWidth="1"/>
    <col min="8962" max="8962" width="13.28515625" style="2" customWidth="1"/>
    <col min="8963" max="8963" width="17.140625" style="2" customWidth="1"/>
    <col min="8964" max="8964" width="43.28515625" style="2" customWidth="1"/>
    <col min="8965" max="8965" width="15" style="2" customWidth="1"/>
    <col min="8966" max="8966" width="18.28515625" style="2" customWidth="1"/>
    <col min="8967" max="8967" width="15.28515625" style="2" customWidth="1"/>
    <col min="8968" max="8968" width="19.85546875" style="2" customWidth="1"/>
    <col min="8969" max="8969" width="16.5703125" style="2" bestFit="1" customWidth="1"/>
    <col min="8970" max="8970" width="22" style="2" bestFit="1" customWidth="1"/>
    <col min="8971" max="8971" width="13.140625" style="2" bestFit="1" customWidth="1"/>
    <col min="8972" max="8972" width="22" style="2" bestFit="1" customWidth="1"/>
    <col min="8973" max="8973" width="16.42578125" style="2" bestFit="1" customWidth="1"/>
    <col min="8974" max="8974" width="17.85546875" style="2" bestFit="1" customWidth="1"/>
    <col min="8975" max="9216" width="9.140625" style="2"/>
    <col min="9217" max="9217" width="5.5703125" style="2" customWidth="1"/>
    <col min="9218" max="9218" width="13.28515625" style="2" customWidth="1"/>
    <col min="9219" max="9219" width="17.140625" style="2" customWidth="1"/>
    <col min="9220" max="9220" width="43.28515625" style="2" customWidth="1"/>
    <col min="9221" max="9221" width="15" style="2" customWidth="1"/>
    <col min="9222" max="9222" width="18.28515625" style="2" customWidth="1"/>
    <col min="9223" max="9223" width="15.28515625" style="2" customWidth="1"/>
    <col min="9224" max="9224" width="19.85546875" style="2" customWidth="1"/>
    <col min="9225" max="9225" width="16.5703125" style="2" bestFit="1" customWidth="1"/>
    <col min="9226" max="9226" width="22" style="2" bestFit="1" customWidth="1"/>
    <col min="9227" max="9227" width="13.140625" style="2" bestFit="1" customWidth="1"/>
    <col min="9228" max="9228" width="22" style="2" bestFit="1" customWidth="1"/>
    <col min="9229" max="9229" width="16.42578125" style="2" bestFit="1" customWidth="1"/>
    <col min="9230" max="9230" width="17.85546875" style="2" bestFit="1" customWidth="1"/>
    <col min="9231" max="9472" width="9.140625" style="2"/>
    <col min="9473" max="9473" width="5.5703125" style="2" customWidth="1"/>
    <col min="9474" max="9474" width="13.28515625" style="2" customWidth="1"/>
    <col min="9475" max="9475" width="17.140625" style="2" customWidth="1"/>
    <col min="9476" max="9476" width="43.28515625" style="2" customWidth="1"/>
    <col min="9477" max="9477" width="15" style="2" customWidth="1"/>
    <col min="9478" max="9478" width="18.28515625" style="2" customWidth="1"/>
    <col min="9479" max="9479" width="15.28515625" style="2" customWidth="1"/>
    <col min="9480" max="9480" width="19.85546875" style="2" customWidth="1"/>
    <col min="9481" max="9481" width="16.5703125" style="2" bestFit="1" customWidth="1"/>
    <col min="9482" max="9482" width="22" style="2" bestFit="1" customWidth="1"/>
    <col min="9483" max="9483" width="13.140625" style="2" bestFit="1" customWidth="1"/>
    <col min="9484" max="9484" width="22" style="2" bestFit="1" customWidth="1"/>
    <col min="9485" max="9485" width="16.42578125" style="2" bestFit="1" customWidth="1"/>
    <col min="9486" max="9486" width="17.85546875" style="2" bestFit="1" customWidth="1"/>
    <col min="9487" max="9728" width="9.140625" style="2"/>
    <col min="9729" max="9729" width="5.5703125" style="2" customWidth="1"/>
    <col min="9730" max="9730" width="13.28515625" style="2" customWidth="1"/>
    <col min="9731" max="9731" width="17.140625" style="2" customWidth="1"/>
    <col min="9732" max="9732" width="43.28515625" style="2" customWidth="1"/>
    <col min="9733" max="9733" width="15" style="2" customWidth="1"/>
    <col min="9734" max="9734" width="18.28515625" style="2" customWidth="1"/>
    <col min="9735" max="9735" width="15.28515625" style="2" customWidth="1"/>
    <col min="9736" max="9736" width="19.85546875" style="2" customWidth="1"/>
    <col min="9737" max="9737" width="16.5703125" style="2" bestFit="1" customWidth="1"/>
    <col min="9738" max="9738" width="22" style="2" bestFit="1" customWidth="1"/>
    <col min="9739" max="9739" width="13.140625" style="2" bestFit="1" customWidth="1"/>
    <col min="9740" max="9740" width="22" style="2" bestFit="1" customWidth="1"/>
    <col min="9741" max="9741" width="16.42578125" style="2" bestFit="1" customWidth="1"/>
    <col min="9742" max="9742" width="17.85546875" style="2" bestFit="1" customWidth="1"/>
    <col min="9743" max="9984" width="9.140625" style="2"/>
    <col min="9985" max="9985" width="5.5703125" style="2" customWidth="1"/>
    <col min="9986" max="9986" width="13.28515625" style="2" customWidth="1"/>
    <col min="9987" max="9987" width="17.140625" style="2" customWidth="1"/>
    <col min="9988" max="9988" width="43.28515625" style="2" customWidth="1"/>
    <col min="9989" max="9989" width="15" style="2" customWidth="1"/>
    <col min="9990" max="9990" width="18.28515625" style="2" customWidth="1"/>
    <col min="9991" max="9991" width="15.28515625" style="2" customWidth="1"/>
    <col min="9992" max="9992" width="19.85546875" style="2" customWidth="1"/>
    <col min="9993" max="9993" width="16.5703125" style="2" bestFit="1" customWidth="1"/>
    <col min="9994" max="9994" width="22" style="2" bestFit="1" customWidth="1"/>
    <col min="9995" max="9995" width="13.140625" style="2" bestFit="1" customWidth="1"/>
    <col min="9996" max="9996" width="22" style="2" bestFit="1" customWidth="1"/>
    <col min="9997" max="9997" width="16.42578125" style="2" bestFit="1" customWidth="1"/>
    <col min="9998" max="9998" width="17.85546875" style="2" bestFit="1" customWidth="1"/>
    <col min="9999" max="10240" width="9.140625" style="2"/>
    <col min="10241" max="10241" width="5.5703125" style="2" customWidth="1"/>
    <col min="10242" max="10242" width="13.28515625" style="2" customWidth="1"/>
    <col min="10243" max="10243" width="17.140625" style="2" customWidth="1"/>
    <col min="10244" max="10244" width="43.28515625" style="2" customWidth="1"/>
    <col min="10245" max="10245" width="15" style="2" customWidth="1"/>
    <col min="10246" max="10246" width="18.28515625" style="2" customWidth="1"/>
    <col min="10247" max="10247" width="15.28515625" style="2" customWidth="1"/>
    <col min="10248" max="10248" width="19.85546875" style="2" customWidth="1"/>
    <col min="10249" max="10249" width="16.5703125" style="2" bestFit="1" customWidth="1"/>
    <col min="10250" max="10250" width="22" style="2" bestFit="1" customWidth="1"/>
    <col min="10251" max="10251" width="13.140625" style="2" bestFit="1" customWidth="1"/>
    <col min="10252" max="10252" width="22" style="2" bestFit="1" customWidth="1"/>
    <col min="10253" max="10253" width="16.42578125" style="2" bestFit="1" customWidth="1"/>
    <col min="10254" max="10254" width="17.85546875" style="2" bestFit="1" customWidth="1"/>
    <col min="10255" max="10496" width="9.140625" style="2"/>
    <col min="10497" max="10497" width="5.5703125" style="2" customWidth="1"/>
    <col min="10498" max="10498" width="13.28515625" style="2" customWidth="1"/>
    <col min="10499" max="10499" width="17.140625" style="2" customWidth="1"/>
    <col min="10500" max="10500" width="43.28515625" style="2" customWidth="1"/>
    <col min="10501" max="10501" width="15" style="2" customWidth="1"/>
    <col min="10502" max="10502" width="18.28515625" style="2" customWidth="1"/>
    <col min="10503" max="10503" width="15.28515625" style="2" customWidth="1"/>
    <col min="10504" max="10504" width="19.85546875" style="2" customWidth="1"/>
    <col min="10505" max="10505" width="16.5703125" style="2" bestFit="1" customWidth="1"/>
    <col min="10506" max="10506" width="22" style="2" bestFit="1" customWidth="1"/>
    <col min="10507" max="10507" width="13.140625" style="2" bestFit="1" customWidth="1"/>
    <col min="10508" max="10508" width="22" style="2" bestFit="1" customWidth="1"/>
    <col min="10509" max="10509" width="16.42578125" style="2" bestFit="1" customWidth="1"/>
    <col min="10510" max="10510" width="17.85546875" style="2" bestFit="1" customWidth="1"/>
    <col min="10511" max="10752" width="9.140625" style="2"/>
    <col min="10753" max="10753" width="5.5703125" style="2" customWidth="1"/>
    <col min="10754" max="10754" width="13.28515625" style="2" customWidth="1"/>
    <col min="10755" max="10755" width="17.140625" style="2" customWidth="1"/>
    <col min="10756" max="10756" width="43.28515625" style="2" customWidth="1"/>
    <col min="10757" max="10757" width="15" style="2" customWidth="1"/>
    <col min="10758" max="10758" width="18.28515625" style="2" customWidth="1"/>
    <col min="10759" max="10759" width="15.28515625" style="2" customWidth="1"/>
    <col min="10760" max="10760" width="19.85546875" style="2" customWidth="1"/>
    <col min="10761" max="10761" width="16.5703125" style="2" bestFit="1" customWidth="1"/>
    <col min="10762" max="10762" width="22" style="2" bestFit="1" customWidth="1"/>
    <col min="10763" max="10763" width="13.140625" style="2" bestFit="1" customWidth="1"/>
    <col min="10764" max="10764" width="22" style="2" bestFit="1" customWidth="1"/>
    <col min="10765" max="10765" width="16.42578125" style="2" bestFit="1" customWidth="1"/>
    <col min="10766" max="10766" width="17.85546875" style="2" bestFit="1" customWidth="1"/>
    <col min="10767" max="11008" width="9.140625" style="2"/>
    <col min="11009" max="11009" width="5.5703125" style="2" customWidth="1"/>
    <col min="11010" max="11010" width="13.28515625" style="2" customWidth="1"/>
    <col min="11011" max="11011" width="17.140625" style="2" customWidth="1"/>
    <col min="11012" max="11012" width="43.28515625" style="2" customWidth="1"/>
    <col min="11013" max="11013" width="15" style="2" customWidth="1"/>
    <col min="11014" max="11014" width="18.28515625" style="2" customWidth="1"/>
    <col min="11015" max="11015" width="15.28515625" style="2" customWidth="1"/>
    <col min="11016" max="11016" width="19.85546875" style="2" customWidth="1"/>
    <col min="11017" max="11017" width="16.5703125" style="2" bestFit="1" customWidth="1"/>
    <col min="11018" max="11018" width="22" style="2" bestFit="1" customWidth="1"/>
    <col min="11019" max="11019" width="13.140625" style="2" bestFit="1" customWidth="1"/>
    <col min="11020" max="11020" width="22" style="2" bestFit="1" customWidth="1"/>
    <col min="11021" max="11021" width="16.42578125" style="2" bestFit="1" customWidth="1"/>
    <col min="11022" max="11022" width="17.85546875" style="2" bestFit="1" customWidth="1"/>
    <col min="11023" max="11264" width="9.140625" style="2"/>
    <col min="11265" max="11265" width="5.5703125" style="2" customWidth="1"/>
    <col min="11266" max="11266" width="13.28515625" style="2" customWidth="1"/>
    <col min="11267" max="11267" width="17.140625" style="2" customWidth="1"/>
    <col min="11268" max="11268" width="43.28515625" style="2" customWidth="1"/>
    <col min="11269" max="11269" width="15" style="2" customWidth="1"/>
    <col min="11270" max="11270" width="18.28515625" style="2" customWidth="1"/>
    <col min="11271" max="11271" width="15.28515625" style="2" customWidth="1"/>
    <col min="11272" max="11272" width="19.85546875" style="2" customWidth="1"/>
    <col min="11273" max="11273" width="16.5703125" style="2" bestFit="1" customWidth="1"/>
    <col min="11274" max="11274" width="22" style="2" bestFit="1" customWidth="1"/>
    <col min="11275" max="11275" width="13.140625" style="2" bestFit="1" customWidth="1"/>
    <col min="11276" max="11276" width="22" style="2" bestFit="1" customWidth="1"/>
    <col min="11277" max="11277" width="16.42578125" style="2" bestFit="1" customWidth="1"/>
    <col min="11278" max="11278" width="17.85546875" style="2" bestFit="1" customWidth="1"/>
    <col min="11279" max="11520" width="9.140625" style="2"/>
    <col min="11521" max="11521" width="5.5703125" style="2" customWidth="1"/>
    <col min="11522" max="11522" width="13.28515625" style="2" customWidth="1"/>
    <col min="11523" max="11523" width="17.140625" style="2" customWidth="1"/>
    <col min="11524" max="11524" width="43.28515625" style="2" customWidth="1"/>
    <col min="11525" max="11525" width="15" style="2" customWidth="1"/>
    <col min="11526" max="11526" width="18.28515625" style="2" customWidth="1"/>
    <col min="11527" max="11527" width="15.28515625" style="2" customWidth="1"/>
    <col min="11528" max="11528" width="19.85546875" style="2" customWidth="1"/>
    <col min="11529" max="11529" width="16.5703125" style="2" bestFit="1" customWidth="1"/>
    <col min="11530" max="11530" width="22" style="2" bestFit="1" customWidth="1"/>
    <col min="11531" max="11531" width="13.140625" style="2" bestFit="1" customWidth="1"/>
    <col min="11532" max="11532" width="22" style="2" bestFit="1" customWidth="1"/>
    <col min="11533" max="11533" width="16.42578125" style="2" bestFit="1" customWidth="1"/>
    <col min="11534" max="11534" width="17.85546875" style="2" bestFit="1" customWidth="1"/>
    <col min="11535" max="11776" width="9.140625" style="2"/>
    <col min="11777" max="11777" width="5.5703125" style="2" customWidth="1"/>
    <col min="11778" max="11778" width="13.28515625" style="2" customWidth="1"/>
    <col min="11779" max="11779" width="17.140625" style="2" customWidth="1"/>
    <col min="11780" max="11780" width="43.28515625" style="2" customWidth="1"/>
    <col min="11781" max="11781" width="15" style="2" customWidth="1"/>
    <col min="11782" max="11782" width="18.28515625" style="2" customWidth="1"/>
    <col min="11783" max="11783" width="15.28515625" style="2" customWidth="1"/>
    <col min="11784" max="11784" width="19.85546875" style="2" customWidth="1"/>
    <col min="11785" max="11785" width="16.5703125" style="2" bestFit="1" customWidth="1"/>
    <col min="11786" max="11786" width="22" style="2" bestFit="1" customWidth="1"/>
    <col min="11787" max="11787" width="13.140625" style="2" bestFit="1" customWidth="1"/>
    <col min="11788" max="11788" width="22" style="2" bestFit="1" customWidth="1"/>
    <col min="11789" max="11789" width="16.42578125" style="2" bestFit="1" customWidth="1"/>
    <col min="11790" max="11790" width="17.85546875" style="2" bestFit="1" customWidth="1"/>
    <col min="11791" max="12032" width="9.140625" style="2"/>
    <col min="12033" max="12033" width="5.5703125" style="2" customWidth="1"/>
    <col min="12034" max="12034" width="13.28515625" style="2" customWidth="1"/>
    <col min="12035" max="12035" width="17.140625" style="2" customWidth="1"/>
    <col min="12036" max="12036" width="43.28515625" style="2" customWidth="1"/>
    <col min="12037" max="12037" width="15" style="2" customWidth="1"/>
    <col min="12038" max="12038" width="18.28515625" style="2" customWidth="1"/>
    <col min="12039" max="12039" width="15.28515625" style="2" customWidth="1"/>
    <col min="12040" max="12040" width="19.85546875" style="2" customWidth="1"/>
    <col min="12041" max="12041" width="16.5703125" style="2" bestFit="1" customWidth="1"/>
    <col min="12042" max="12042" width="22" style="2" bestFit="1" customWidth="1"/>
    <col min="12043" max="12043" width="13.140625" style="2" bestFit="1" customWidth="1"/>
    <col min="12044" max="12044" width="22" style="2" bestFit="1" customWidth="1"/>
    <col min="12045" max="12045" width="16.42578125" style="2" bestFit="1" customWidth="1"/>
    <col min="12046" max="12046" width="17.85546875" style="2" bestFit="1" customWidth="1"/>
    <col min="12047" max="12288" width="9.140625" style="2"/>
    <col min="12289" max="12289" width="5.5703125" style="2" customWidth="1"/>
    <col min="12290" max="12290" width="13.28515625" style="2" customWidth="1"/>
    <col min="12291" max="12291" width="17.140625" style="2" customWidth="1"/>
    <col min="12292" max="12292" width="43.28515625" style="2" customWidth="1"/>
    <col min="12293" max="12293" width="15" style="2" customWidth="1"/>
    <col min="12294" max="12294" width="18.28515625" style="2" customWidth="1"/>
    <col min="12295" max="12295" width="15.28515625" style="2" customWidth="1"/>
    <col min="12296" max="12296" width="19.85546875" style="2" customWidth="1"/>
    <col min="12297" max="12297" width="16.5703125" style="2" bestFit="1" customWidth="1"/>
    <col min="12298" max="12298" width="22" style="2" bestFit="1" customWidth="1"/>
    <col min="12299" max="12299" width="13.140625" style="2" bestFit="1" customWidth="1"/>
    <col min="12300" max="12300" width="22" style="2" bestFit="1" customWidth="1"/>
    <col min="12301" max="12301" width="16.42578125" style="2" bestFit="1" customWidth="1"/>
    <col min="12302" max="12302" width="17.85546875" style="2" bestFit="1" customWidth="1"/>
    <col min="12303" max="12544" width="9.140625" style="2"/>
    <col min="12545" max="12545" width="5.5703125" style="2" customWidth="1"/>
    <col min="12546" max="12546" width="13.28515625" style="2" customWidth="1"/>
    <col min="12547" max="12547" width="17.140625" style="2" customWidth="1"/>
    <col min="12548" max="12548" width="43.28515625" style="2" customWidth="1"/>
    <col min="12549" max="12549" width="15" style="2" customWidth="1"/>
    <col min="12550" max="12550" width="18.28515625" style="2" customWidth="1"/>
    <col min="12551" max="12551" width="15.28515625" style="2" customWidth="1"/>
    <col min="12552" max="12552" width="19.85546875" style="2" customWidth="1"/>
    <col min="12553" max="12553" width="16.5703125" style="2" bestFit="1" customWidth="1"/>
    <col min="12554" max="12554" width="22" style="2" bestFit="1" customWidth="1"/>
    <col min="12555" max="12555" width="13.140625" style="2" bestFit="1" customWidth="1"/>
    <col min="12556" max="12556" width="22" style="2" bestFit="1" customWidth="1"/>
    <col min="12557" max="12557" width="16.42578125" style="2" bestFit="1" customWidth="1"/>
    <col min="12558" max="12558" width="17.85546875" style="2" bestFit="1" customWidth="1"/>
    <col min="12559" max="12800" width="9.140625" style="2"/>
    <col min="12801" max="12801" width="5.5703125" style="2" customWidth="1"/>
    <col min="12802" max="12802" width="13.28515625" style="2" customWidth="1"/>
    <col min="12803" max="12803" width="17.140625" style="2" customWidth="1"/>
    <col min="12804" max="12804" width="43.28515625" style="2" customWidth="1"/>
    <col min="12805" max="12805" width="15" style="2" customWidth="1"/>
    <col min="12806" max="12806" width="18.28515625" style="2" customWidth="1"/>
    <col min="12807" max="12807" width="15.28515625" style="2" customWidth="1"/>
    <col min="12808" max="12808" width="19.85546875" style="2" customWidth="1"/>
    <col min="12809" max="12809" width="16.5703125" style="2" bestFit="1" customWidth="1"/>
    <col min="12810" max="12810" width="22" style="2" bestFit="1" customWidth="1"/>
    <col min="12811" max="12811" width="13.140625" style="2" bestFit="1" customWidth="1"/>
    <col min="12812" max="12812" width="22" style="2" bestFit="1" customWidth="1"/>
    <col min="12813" max="12813" width="16.42578125" style="2" bestFit="1" customWidth="1"/>
    <col min="12814" max="12814" width="17.85546875" style="2" bestFit="1" customWidth="1"/>
    <col min="12815" max="13056" width="9.140625" style="2"/>
    <col min="13057" max="13057" width="5.5703125" style="2" customWidth="1"/>
    <col min="13058" max="13058" width="13.28515625" style="2" customWidth="1"/>
    <col min="13059" max="13059" width="17.140625" style="2" customWidth="1"/>
    <col min="13060" max="13060" width="43.28515625" style="2" customWidth="1"/>
    <col min="13061" max="13061" width="15" style="2" customWidth="1"/>
    <col min="13062" max="13062" width="18.28515625" style="2" customWidth="1"/>
    <col min="13063" max="13063" width="15.28515625" style="2" customWidth="1"/>
    <col min="13064" max="13064" width="19.85546875" style="2" customWidth="1"/>
    <col min="13065" max="13065" width="16.5703125" style="2" bestFit="1" customWidth="1"/>
    <col min="13066" max="13066" width="22" style="2" bestFit="1" customWidth="1"/>
    <col min="13067" max="13067" width="13.140625" style="2" bestFit="1" customWidth="1"/>
    <col min="13068" max="13068" width="22" style="2" bestFit="1" customWidth="1"/>
    <col min="13069" max="13069" width="16.42578125" style="2" bestFit="1" customWidth="1"/>
    <col min="13070" max="13070" width="17.85546875" style="2" bestFit="1" customWidth="1"/>
    <col min="13071" max="13312" width="9.140625" style="2"/>
    <col min="13313" max="13313" width="5.5703125" style="2" customWidth="1"/>
    <col min="13314" max="13314" width="13.28515625" style="2" customWidth="1"/>
    <col min="13315" max="13315" width="17.140625" style="2" customWidth="1"/>
    <col min="13316" max="13316" width="43.28515625" style="2" customWidth="1"/>
    <col min="13317" max="13317" width="15" style="2" customWidth="1"/>
    <col min="13318" max="13318" width="18.28515625" style="2" customWidth="1"/>
    <col min="13319" max="13319" width="15.28515625" style="2" customWidth="1"/>
    <col min="13320" max="13320" width="19.85546875" style="2" customWidth="1"/>
    <col min="13321" max="13321" width="16.5703125" style="2" bestFit="1" customWidth="1"/>
    <col min="13322" max="13322" width="22" style="2" bestFit="1" customWidth="1"/>
    <col min="13323" max="13323" width="13.140625" style="2" bestFit="1" customWidth="1"/>
    <col min="13324" max="13324" width="22" style="2" bestFit="1" customWidth="1"/>
    <col min="13325" max="13325" width="16.42578125" style="2" bestFit="1" customWidth="1"/>
    <col min="13326" max="13326" width="17.85546875" style="2" bestFit="1" customWidth="1"/>
    <col min="13327" max="13568" width="9.140625" style="2"/>
    <col min="13569" max="13569" width="5.5703125" style="2" customWidth="1"/>
    <col min="13570" max="13570" width="13.28515625" style="2" customWidth="1"/>
    <col min="13571" max="13571" width="17.140625" style="2" customWidth="1"/>
    <col min="13572" max="13572" width="43.28515625" style="2" customWidth="1"/>
    <col min="13573" max="13573" width="15" style="2" customWidth="1"/>
    <col min="13574" max="13574" width="18.28515625" style="2" customWidth="1"/>
    <col min="13575" max="13575" width="15.28515625" style="2" customWidth="1"/>
    <col min="13576" max="13576" width="19.85546875" style="2" customWidth="1"/>
    <col min="13577" max="13577" width="16.5703125" style="2" bestFit="1" customWidth="1"/>
    <col min="13578" max="13578" width="22" style="2" bestFit="1" customWidth="1"/>
    <col min="13579" max="13579" width="13.140625" style="2" bestFit="1" customWidth="1"/>
    <col min="13580" max="13580" width="22" style="2" bestFit="1" customWidth="1"/>
    <col min="13581" max="13581" width="16.42578125" style="2" bestFit="1" customWidth="1"/>
    <col min="13582" max="13582" width="17.85546875" style="2" bestFit="1" customWidth="1"/>
    <col min="13583" max="13824" width="9.140625" style="2"/>
    <col min="13825" max="13825" width="5.5703125" style="2" customWidth="1"/>
    <col min="13826" max="13826" width="13.28515625" style="2" customWidth="1"/>
    <col min="13827" max="13827" width="17.140625" style="2" customWidth="1"/>
    <col min="13828" max="13828" width="43.28515625" style="2" customWidth="1"/>
    <col min="13829" max="13829" width="15" style="2" customWidth="1"/>
    <col min="13830" max="13830" width="18.28515625" style="2" customWidth="1"/>
    <col min="13831" max="13831" width="15.28515625" style="2" customWidth="1"/>
    <col min="13832" max="13832" width="19.85546875" style="2" customWidth="1"/>
    <col min="13833" max="13833" width="16.5703125" style="2" bestFit="1" customWidth="1"/>
    <col min="13834" max="13834" width="22" style="2" bestFit="1" customWidth="1"/>
    <col min="13835" max="13835" width="13.140625" style="2" bestFit="1" customWidth="1"/>
    <col min="13836" max="13836" width="22" style="2" bestFit="1" customWidth="1"/>
    <col min="13837" max="13837" width="16.42578125" style="2" bestFit="1" customWidth="1"/>
    <col min="13838" max="13838" width="17.85546875" style="2" bestFit="1" customWidth="1"/>
    <col min="13839" max="14080" width="9.140625" style="2"/>
    <col min="14081" max="14081" width="5.5703125" style="2" customWidth="1"/>
    <col min="14082" max="14082" width="13.28515625" style="2" customWidth="1"/>
    <col min="14083" max="14083" width="17.140625" style="2" customWidth="1"/>
    <col min="14084" max="14084" width="43.28515625" style="2" customWidth="1"/>
    <col min="14085" max="14085" width="15" style="2" customWidth="1"/>
    <col min="14086" max="14086" width="18.28515625" style="2" customWidth="1"/>
    <col min="14087" max="14087" width="15.28515625" style="2" customWidth="1"/>
    <col min="14088" max="14088" width="19.85546875" style="2" customWidth="1"/>
    <col min="14089" max="14089" width="16.5703125" style="2" bestFit="1" customWidth="1"/>
    <col min="14090" max="14090" width="22" style="2" bestFit="1" customWidth="1"/>
    <col min="14091" max="14091" width="13.140625" style="2" bestFit="1" customWidth="1"/>
    <col min="14092" max="14092" width="22" style="2" bestFit="1" customWidth="1"/>
    <col min="14093" max="14093" width="16.42578125" style="2" bestFit="1" customWidth="1"/>
    <col min="14094" max="14094" width="17.85546875" style="2" bestFit="1" customWidth="1"/>
    <col min="14095" max="14336" width="9.140625" style="2"/>
    <col min="14337" max="14337" width="5.5703125" style="2" customWidth="1"/>
    <col min="14338" max="14338" width="13.28515625" style="2" customWidth="1"/>
    <col min="14339" max="14339" width="17.140625" style="2" customWidth="1"/>
    <col min="14340" max="14340" width="43.28515625" style="2" customWidth="1"/>
    <col min="14341" max="14341" width="15" style="2" customWidth="1"/>
    <col min="14342" max="14342" width="18.28515625" style="2" customWidth="1"/>
    <col min="14343" max="14343" width="15.28515625" style="2" customWidth="1"/>
    <col min="14344" max="14344" width="19.85546875" style="2" customWidth="1"/>
    <col min="14345" max="14345" width="16.5703125" style="2" bestFit="1" customWidth="1"/>
    <col min="14346" max="14346" width="22" style="2" bestFit="1" customWidth="1"/>
    <col min="14347" max="14347" width="13.140625" style="2" bestFit="1" customWidth="1"/>
    <col min="14348" max="14348" width="22" style="2" bestFit="1" customWidth="1"/>
    <col min="14349" max="14349" width="16.42578125" style="2" bestFit="1" customWidth="1"/>
    <col min="14350" max="14350" width="17.85546875" style="2" bestFit="1" customWidth="1"/>
    <col min="14351" max="14592" width="9.140625" style="2"/>
    <col min="14593" max="14593" width="5.5703125" style="2" customWidth="1"/>
    <col min="14594" max="14594" width="13.28515625" style="2" customWidth="1"/>
    <col min="14595" max="14595" width="17.140625" style="2" customWidth="1"/>
    <col min="14596" max="14596" width="43.28515625" style="2" customWidth="1"/>
    <col min="14597" max="14597" width="15" style="2" customWidth="1"/>
    <col min="14598" max="14598" width="18.28515625" style="2" customWidth="1"/>
    <col min="14599" max="14599" width="15.28515625" style="2" customWidth="1"/>
    <col min="14600" max="14600" width="19.85546875" style="2" customWidth="1"/>
    <col min="14601" max="14601" width="16.5703125" style="2" bestFit="1" customWidth="1"/>
    <col min="14602" max="14602" width="22" style="2" bestFit="1" customWidth="1"/>
    <col min="14603" max="14603" width="13.140625" style="2" bestFit="1" customWidth="1"/>
    <col min="14604" max="14604" width="22" style="2" bestFit="1" customWidth="1"/>
    <col min="14605" max="14605" width="16.42578125" style="2" bestFit="1" customWidth="1"/>
    <col min="14606" max="14606" width="17.85546875" style="2" bestFit="1" customWidth="1"/>
    <col min="14607" max="14848" width="9.140625" style="2"/>
    <col min="14849" max="14849" width="5.5703125" style="2" customWidth="1"/>
    <col min="14850" max="14850" width="13.28515625" style="2" customWidth="1"/>
    <col min="14851" max="14851" width="17.140625" style="2" customWidth="1"/>
    <col min="14852" max="14852" width="43.28515625" style="2" customWidth="1"/>
    <col min="14853" max="14853" width="15" style="2" customWidth="1"/>
    <col min="14854" max="14854" width="18.28515625" style="2" customWidth="1"/>
    <col min="14855" max="14855" width="15.28515625" style="2" customWidth="1"/>
    <col min="14856" max="14856" width="19.85546875" style="2" customWidth="1"/>
    <col min="14857" max="14857" width="16.5703125" style="2" bestFit="1" customWidth="1"/>
    <col min="14858" max="14858" width="22" style="2" bestFit="1" customWidth="1"/>
    <col min="14859" max="14859" width="13.140625" style="2" bestFit="1" customWidth="1"/>
    <col min="14860" max="14860" width="22" style="2" bestFit="1" customWidth="1"/>
    <col min="14861" max="14861" width="16.42578125" style="2" bestFit="1" customWidth="1"/>
    <col min="14862" max="14862" width="17.85546875" style="2" bestFit="1" customWidth="1"/>
    <col min="14863" max="15104" width="9.140625" style="2"/>
    <col min="15105" max="15105" width="5.5703125" style="2" customWidth="1"/>
    <col min="15106" max="15106" width="13.28515625" style="2" customWidth="1"/>
    <col min="15107" max="15107" width="17.140625" style="2" customWidth="1"/>
    <col min="15108" max="15108" width="43.28515625" style="2" customWidth="1"/>
    <col min="15109" max="15109" width="15" style="2" customWidth="1"/>
    <col min="15110" max="15110" width="18.28515625" style="2" customWidth="1"/>
    <col min="15111" max="15111" width="15.28515625" style="2" customWidth="1"/>
    <col min="15112" max="15112" width="19.85546875" style="2" customWidth="1"/>
    <col min="15113" max="15113" width="16.5703125" style="2" bestFit="1" customWidth="1"/>
    <col min="15114" max="15114" width="22" style="2" bestFit="1" customWidth="1"/>
    <col min="15115" max="15115" width="13.140625" style="2" bestFit="1" customWidth="1"/>
    <col min="15116" max="15116" width="22" style="2" bestFit="1" customWidth="1"/>
    <col min="15117" max="15117" width="16.42578125" style="2" bestFit="1" customWidth="1"/>
    <col min="15118" max="15118" width="17.85546875" style="2" bestFit="1" customWidth="1"/>
    <col min="15119" max="15360" width="9.140625" style="2"/>
    <col min="15361" max="15361" width="5.5703125" style="2" customWidth="1"/>
    <col min="15362" max="15362" width="13.28515625" style="2" customWidth="1"/>
    <col min="15363" max="15363" width="17.140625" style="2" customWidth="1"/>
    <col min="15364" max="15364" width="43.28515625" style="2" customWidth="1"/>
    <col min="15365" max="15365" width="15" style="2" customWidth="1"/>
    <col min="15366" max="15366" width="18.28515625" style="2" customWidth="1"/>
    <col min="15367" max="15367" width="15.28515625" style="2" customWidth="1"/>
    <col min="15368" max="15368" width="19.85546875" style="2" customWidth="1"/>
    <col min="15369" max="15369" width="16.5703125" style="2" bestFit="1" customWidth="1"/>
    <col min="15370" max="15370" width="22" style="2" bestFit="1" customWidth="1"/>
    <col min="15371" max="15371" width="13.140625" style="2" bestFit="1" customWidth="1"/>
    <col min="15372" max="15372" width="22" style="2" bestFit="1" customWidth="1"/>
    <col min="15373" max="15373" width="16.42578125" style="2" bestFit="1" customWidth="1"/>
    <col min="15374" max="15374" width="17.85546875" style="2" bestFit="1" customWidth="1"/>
    <col min="15375" max="15616" width="9.140625" style="2"/>
    <col min="15617" max="15617" width="5.5703125" style="2" customWidth="1"/>
    <col min="15618" max="15618" width="13.28515625" style="2" customWidth="1"/>
    <col min="15619" max="15619" width="17.140625" style="2" customWidth="1"/>
    <col min="15620" max="15620" width="43.28515625" style="2" customWidth="1"/>
    <col min="15621" max="15621" width="15" style="2" customWidth="1"/>
    <col min="15622" max="15622" width="18.28515625" style="2" customWidth="1"/>
    <col min="15623" max="15623" width="15.28515625" style="2" customWidth="1"/>
    <col min="15624" max="15624" width="19.85546875" style="2" customWidth="1"/>
    <col min="15625" max="15625" width="16.5703125" style="2" bestFit="1" customWidth="1"/>
    <col min="15626" max="15626" width="22" style="2" bestFit="1" customWidth="1"/>
    <col min="15627" max="15627" width="13.140625" style="2" bestFit="1" customWidth="1"/>
    <col min="15628" max="15628" width="22" style="2" bestFit="1" customWidth="1"/>
    <col min="15629" max="15629" width="16.42578125" style="2" bestFit="1" customWidth="1"/>
    <col min="15630" max="15630" width="17.85546875" style="2" bestFit="1" customWidth="1"/>
    <col min="15631" max="15872" width="9.140625" style="2"/>
    <col min="15873" max="15873" width="5.5703125" style="2" customWidth="1"/>
    <col min="15874" max="15874" width="13.28515625" style="2" customWidth="1"/>
    <col min="15875" max="15875" width="17.140625" style="2" customWidth="1"/>
    <col min="15876" max="15876" width="43.28515625" style="2" customWidth="1"/>
    <col min="15877" max="15877" width="15" style="2" customWidth="1"/>
    <col min="15878" max="15878" width="18.28515625" style="2" customWidth="1"/>
    <col min="15879" max="15879" width="15.28515625" style="2" customWidth="1"/>
    <col min="15880" max="15880" width="19.85546875" style="2" customWidth="1"/>
    <col min="15881" max="15881" width="16.5703125" style="2" bestFit="1" customWidth="1"/>
    <col min="15882" max="15882" width="22" style="2" bestFit="1" customWidth="1"/>
    <col min="15883" max="15883" width="13.140625" style="2" bestFit="1" customWidth="1"/>
    <col min="15884" max="15884" width="22" style="2" bestFit="1" customWidth="1"/>
    <col min="15885" max="15885" width="16.42578125" style="2" bestFit="1" customWidth="1"/>
    <col min="15886" max="15886" width="17.85546875" style="2" bestFit="1" customWidth="1"/>
    <col min="15887" max="16128" width="9.140625" style="2"/>
    <col min="16129" max="16129" width="5.5703125" style="2" customWidth="1"/>
    <col min="16130" max="16130" width="13.28515625" style="2" customWidth="1"/>
    <col min="16131" max="16131" width="17.140625" style="2" customWidth="1"/>
    <col min="16132" max="16132" width="43.28515625" style="2" customWidth="1"/>
    <col min="16133" max="16133" width="15" style="2" customWidth="1"/>
    <col min="16134" max="16134" width="18.28515625" style="2" customWidth="1"/>
    <col min="16135" max="16135" width="15.28515625" style="2" customWidth="1"/>
    <col min="16136" max="16136" width="19.85546875" style="2" customWidth="1"/>
    <col min="16137" max="16137" width="16.5703125" style="2" bestFit="1" customWidth="1"/>
    <col min="16138" max="16138" width="22" style="2" bestFit="1" customWidth="1"/>
    <col min="16139" max="16139" width="13.140625" style="2" bestFit="1" customWidth="1"/>
    <col min="16140" max="16140" width="22" style="2" bestFit="1" customWidth="1"/>
    <col min="16141" max="16141" width="16.42578125" style="2" bestFit="1" customWidth="1"/>
    <col min="16142" max="16142" width="17.85546875" style="2" bestFit="1" customWidth="1"/>
    <col min="16143" max="16384" width="9.140625" style="2"/>
  </cols>
  <sheetData>
    <row r="1" spans="1:12" s="1" customFormat="1" ht="18.75">
      <c r="A1" s="127" t="s">
        <v>36</v>
      </c>
      <c r="B1" s="127"/>
      <c r="C1" s="127"/>
      <c r="D1" s="127"/>
      <c r="E1" s="127"/>
      <c r="F1" s="127"/>
      <c r="G1" s="127"/>
      <c r="H1" s="127"/>
    </row>
    <row r="2" spans="1:12" ht="16.5" thickBot="1"/>
    <row r="3" spans="1:12" s="8" customFormat="1" ht="84" customHeight="1" thickBot="1">
      <c r="A3" s="4" t="s">
        <v>1</v>
      </c>
      <c r="B3" s="5" t="s">
        <v>2</v>
      </c>
      <c r="C3" s="114" t="s">
        <v>3</v>
      </c>
      <c r="D3" s="114" t="s">
        <v>4</v>
      </c>
      <c r="E3" s="114" t="s">
        <v>5</v>
      </c>
      <c r="F3" s="114" t="s">
        <v>6</v>
      </c>
      <c r="G3" s="114" t="s">
        <v>7</v>
      </c>
      <c r="H3" s="7" t="s">
        <v>8</v>
      </c>
      <c r="J3" s="128" t="s">
        <v>9</v>
      </c>
      <c r="K3" s="129"/>
      <c r="L3" s="129"/>
    </row>
    <row r="4" spans="1:12" ht="15.75" customHeight="1">
      <c r="A4" s="130">
        <v>1</v>
      </c>
      <c r="B4" s="133" t="s">
        <v>10</v>
      </c>
      <c r="C4" s="136" t="s">
        <v>11</v>
      </c>
      <c r="D4" s="9" t="s">
        <v>12</v>
      </c>
      <c r="E4" s="10" t="s">
        <v>13</v>
      </c>
      <c r="F4" s="11">
        <v>61.722999999999999</v>
      </c>
      <c r="G4" s="12">
        <v>57339.54</v>
      </c>
      <c r="H4" s="13">
        <f>F4*G4</f>
        <v>3539168.4274200001</v>
      </c>
    </row>
    <row r="5" spans="1:12" ht="15.75" customHeight="1">
      <c r="A5" s="131"/>
      <c r="B5" s="134"/>
      <c r="C5" s="137"/>
      <c r="D5" s="14" t="s">
        <v>14</v>
      </c>
      <c r="E5" s="15" t="s">
        <v>15</v>
      </c>
      <c r="F5" s="16">
        <v>122.08</v>
      </c>
      <c r="G5" s="17">
        <v>109.02</v>
      </c>
      <c r="H5" s="18">
        <f>F5*G5</f>
        <v>13309.161599999999</v>
      </c>
    </row>
    <row r="6" spans="1:12" ht="20.25" customHeight="1">
      <c r="A6" s="131"/>
      <c r="B6" s="134"/>
      <c r="C6" s="137"/>
      <c r="D6" s="19" t="s">
        <v>16</v>
      </c>
      <c r="E6" s="113" t="s">
        <v>15</v>
      </c>
      <c r="F6" s="16">
        <f>5464.432+160.52+14.249</f>
        <v>5639.201</v>
      </c>
      <c r="G6" s="17">
        <v>109.02</v>
      </c>
      <c r="H6" s="18">
        <f>F6*G6</f>
        <v>614785.69302000001</v>
      </c>
      <c r="J6" s="21"/>
    </row>
    <row r="7" spans="1:12" ht="16.5" customHeight="1">
      <c r="A7" s="131"/>
      <c r="B7" s="134"/>
      <c r="C7" s="137"/>
      <c r="D7" s="19" t="s">
        <v>17</v>
      </c>
      <c r="E7" s="113" t="s">
        <v>15</v>
      </c>
      <c r="F7" s="16">
        <f>2806.889+15.003+18.459+1.937</f>
        <v>2842.288</v>
      </c>
      <c r="G7" s="17">
        <v>109.02</v>
      </c>
      <c r="H7" s="18">
        <f>F7*G7</f>
        <v>309866.23775999999</v>
      </c>
      <c r="J7" s="21"/>
    </row>
    <row r="8" spans="1:12">
      <c r="A8" s="131"/>
      <c r="B8" s="134"/>
      <c r="C8" s="137"/>
      <c r="D8" s="19" t="s">
        <v>18</v>
      </c>
      <c r="E8" s="113" t="s">
        <v>15</v>
      </c>
      <c r="F8" s="16">
        <v>1340.37</v>
      </c>
      <c r="G8" s="17">
        <v>109.02</v>
      </c>
      <c r="H8" s="18">
        <f>F8*G8</f>
        <v>146127.13739999998</v>
      </c>
    </row>
    <row r="9" spans="1:12">
      <c r="A9" s="131"/>
      <c r="B9" s="134"/>
      <c r="C9" s="137"/>
      <c r="D9" s="22" t="s">
        <v>19</v>
      </c>
      <c r="E9" s="23"/>
      <c r="F9" s="24">
        <f>F4</f>
        <v>61.722999999999999</v>
      </c>
      <c r="G9" s="25"/>
      <c r="H9" s="26">
        <f>H4</f>
        <v>3539168.4274200001</v>
      </c>
      <c r="J9" s="27"/>
    </row>
    <row r="10" spans="1:12" ht="16.5" thickBot="1">
      <c r="A10" s="132"/>
      <c r="B10" s="135"/>
      <c r="C10" s="138"/>
      <c r="D10" s="28" t="s">
        <v>20</v>
      </c>
      <c r="E10" s="29"/>
      <c r="F10" s="30">
        <f>F6+F7+F8+F5</f>
        <v>9943.9390000000003</v>
      </c>
      <c r="G10" s="31"/>
      <c r="H10" s="32">
        <f>H6+H7+H8+H5</f>
        <v>1084088.2297799999</v>
      </c>
      <c r="J10" s="21"/>
    </row>
    <row r="11" spans="1:12" ht="16.5" customHeight="1">
      <c r="A11" s="116">
        <v>2</v>
      </c>
      <c r="B11" s="125" t="s">
        <v>21</v>
      </c>
      <c r="C11" s="122" t="s">
        <v>11</v>
      </c>
      <c r="D11" s="33" t="s">
        <v>12</v>
      </c>
      <c r="E11" s="34" t="s">
        <v>13</v>
      </c>
      <c r="F11" s="11">
        <v>61.722999999999999</v>
      </c>
      <c r="G11" s="12">
        <v>57339.54</v>
      </c>
      <c r="H11" s="13">
        <f>F11*G11</f>
        <v>3539168.4274200001</v>
      </c>
      <c r="K11" s="27"/>
    </row>
    <row r="12" spans="1:12" ht="16.5" customHeight="1">
      <c r="A12" s="116"/>
      <c r="B12" s="125"/>
      <c r="C12" s="122"/>
      <c r="D12" s="14" t="s">
        <v>14</v>
      </c>
      <c r="E12" s="15" t="s">
        <v>15</v>
      </c>
      <c r="F12" s="16">
        <v>9.9920000000000009</v>
      </c>
      <c r="G12" s="17">
        <v>109.02</v>
      </c>
      <c r="H12" s="18">
        <f>F12*G12</f>
        <v>1089.3278400000002</v>
      </c>
      <c r="K12" s="27"/>
    </row>
    <row r="13" spans="1:12" ht="21.75" customHeight="1">
      <c r="A13" s="116"/>
      <c r="B13" s="125"/>
      <c r="C13" s="122"/>
      <c r="D13" s="14" t="s">
        <v>16</v>
      </c>
      <c r="E13" s="15" t="s">
        <v>15</v>
      </c>
      <c r="F13" s="16">
        <f>4813.915+144.238+15.419</f>
        <v>4973.5720000000001</v>
      </c>
      <c r="G13" s="17">
        <v>109.02</v>
      </c>
      <c r="H13" s="18">
        <f>F13*G13</f>
        <v>542218.81943999999</v>
      </c>
    </row>
    <row r="14" spans="1:12" ht="21.75" customHeight="1">
      <c r="A14" s="116"/>
      <c r="B14" s="125"/>
      <c r="C14" s="122"/>
      <c r="D14" s="14" t="s">
        <v>17</v>
      </c>
      <c r="E14" s="15" t="s">
        <v>15</v>
      </c>
      <c r="F14" s="16">
        <f>2589.996+15.95+2.665+1.839</f>
        <v>2610.4499999999998</v>
      </c>
      <c r="G14" s="17">
        <v>109.02</v>
      </c>
      <c r="H14" s="18">
        <f>F14*G14</f>
        <v>284591.25899999996</v>
      </c>
    </row>
    <row r="15" spans="1:12">
      <c r="A15" s="116"/>
      <c r="B15" s="125"/>
      <c r="C15" s="122"/>
      <c r="D15" s="14" t="s">
        <v>18</v>
      </c>
      <c r="E15" s="15" t="s">
        <v>15</v>
      </c>
      <c r="F15" s="16">
        <v>1207.83</v>
      </c>
      <c r="G15" s="17">
        <v>109.02</v>
      </c>
      <c r="H15" s="18">
        <f>F15*G15</f>
        <v>131677.62659999999</v>
      </c>
    </row>
    <row r="16" spans="1:12">
      <c r="A16" s="116"/>
      <c r="B16" s="125"/>
      <c r="C16" s="122"/>
      <c r="D16" s="35" t="s">
        <v>19</v>
      </c>
      <c r="E16" s="36"/>
      <c r="F16" s="24">
        <f>F11</f>
        <v>61.722999999999999</v>
      </c>
      <c r="G16" s="25"/>
      <c r="H16" s="26">
        <f>H11</f>
        <v>3539168.4274200001</v>
      </c>
    </row>
    <row r="17" spans="1:10" ht="16.5" thickBot="1">
      <c r="A17" s="116"/>
      <c r="B17" s="126"/>
      <c r="C17" s="123"/>
      <c r="D17" s="37" t="s">
        <v>20</v>
      </c>
      <c r="E17" s="38"/>
      <c r="F17" s="30">
        <f>F13+F14+F15+F12</f>
        <v>8801.8439999999991</v>
      </c>
      <c r="G17" s="31"/>
      <c r="H17" s="32">
        <f>H13+H14+H15+H12</f>
        <v>959577.03287999996</v>
      </c>
      <c r="J17" s="21"/>
    </row>
    <row r="18" spans="1:10" ht="15.75" customHeight="1">
      <c r="A18" s="115">
        <v>3</v>
      </c>
      <c r="B18" s="124" t="s">
        <v>22</v>
      </c>
      <c r="C18" s="121" t="s">
        <v>11</v>
      </c>
      <c r="D18" s="39" t="s">
        <v>12</v>
      </c>
      <c r="E18" s="40" t="s">
        <v>13</v>
      </c>
      <c r="F18" s="11">
        <v>61.722999999999999</v>
      </c>
      <c r="G18" s="12">
        <v>57339.54</v>
      </c>
      <c r="H18" s="13">
        <f>F18*G18</f>
        <v>3539168.4274200001</v>
      </c>
    </row>
    <row r="19" spans="1:10">
      <c r="A19" s="116"/>
      <c r="B19" s="125"/>
      <c r="C19" s="122"/>
      <c r="D19" s="14" t="s">
        <v>14</v>
      </c>
      <c r="E19" s="15" t="s">
        <v>15</v>
      </c>
      <c r="F19" s="16">
        <v>78.072000000000003</v>
      </c>
      <c r="G19" s="17">
        <v>109.02</v>
      </c>
      <c r="H19" s="18">
        <f>F19*G19</f>
        <v>8511.4094399999994</v>
      </c>
    </row>
    <row r="20" spans="1:10" ht="25.5">
      <c r="A20" s="116"/>
      <c r="B20" s="125"/>
      <c r="C20" s="122"/>
      <c r="D20" s="14" t="s">
        <v>16</v>
      </c>
      <c r="E20" s="15" t="s">
        <v>15</v>
      </c>
      <c r="F20" s="16">
        <f>5069.978+133.962+16.495</f>
        <v>5220.4350000000004</v>
      </c>
      <c r="G20" s="17">
        <v>109.02</v>
      </c>
      <c r="H20" s="18">
        <f>F20*G20</f>
        <v>569131.82370000007</v>
      </c>
      <c r="J20" s="27"/>
    </row>
    <row r="21" spans="1:10" ht="25.5">
      <c r="A21" s="116"/>
      <c r="B21" s="125"/>
      <c r="C21" s="122"/>
      <c r="D21" s="14" t="s">
        <v>17</v>
      </c>
      <c r="E21" s="15" t="s">
        <v>15</v>
      </c>
      <c r="F21" s="16">
        <f>2562.529+19.42+2.697+1.938</f>
        <v>2586.5840000000003</v>
      </c>
      <c r="G21" s="17">
        <v>109.02</v>
      </c>
      <c r="H21" s="18">
        <f>F21*G21</f>
        <v>281989.38768000004</v>
      </c>
    </row>
    <row r="22" spans="1:10">
      <c r="A22" s="116"/>
      <c r="B22" s="125"/>
      <c r="C22" s="122"/>
      <c r="D22" s="14" t="s">
        <v>18</v>
      </c>
      <c r="E22" s="15" t="s">
        <v>15</v>
      </c>
      <c r="F22" s="16">
        <v>1164.6959999999999</v>
      </c>
      <c r="G22" s="17">
        <v>109.02</v>
      </c>
      <c r="H22" s="18">
        <f>F22*G22</f>
        <v>126975.15791999998</v>
      </c>
      <c r="J22" s="27"/>
    </row>
    <row r="23" spans="1:10">
      <c r="A23" s="116"/>
      <c r="B23" s="125"/>
      <c r="C23" s="122"/>
      <c r="D23" s="35" t="s">
        <v>19</v>
      </c>
      <c r="E23" s="36"/>
      <c r="F23" s="24">
        <f>F18</f>
        <v>61.722999999999999</v>
      </c>
      <c r="G23" s="25"/>
      <c r="H23" s="26">
        <f>H18</f>
        <v>3539168.4274200001</v>
      </c>
    </row>
    <row r="24" spans="1:10" ht="16.5" thickBot="1">
      <c r="A24" s="117"/>
      <c r="B24" s="126"/>
      <c r="C24" s="123"/>
      <c r="D24" s="37" t="s">
        <v>20</v>
      </c>
      <c r="E24" s="38"/>
      <c r="F24" s="30">
        <f>F20+F21+F22+F19</f>
        <v>9049.7870000000003</v>
      </c>
      <c r="G24" s="31"/>
      <c r="H24" s="32">
        <f>H20+H21+H22+H19</f>
        <v>986607.7787400001</v>
      </c>
      <c r="J24" s="21"/>
    </row>
    <row r="25" spans="1:10" ht="15.75" customHeight="1">
      <c r="A25" s="115">
        <v>4</v>
      </c>
      <c r="B25" s="124" t="s">
        <v>23</v>
      </c>
      <c r="C25" s="121" t="s">
        <v>11</v>
      </c>
      <c r="D25" s="39" t="s">
        <v>12</v>
      </c>
      <c r="E25" s="40" t="s">
        <v>13</v>
      </c>
      <c r="F25" s="11">
        <v>61.722999999999999</v>
      </c>
      <c r="G25" s="12">
        <v>57339.54</v>
      </c>
      <c r="H25" s="13">
        <f>F25*G25</f>
        <v>3539168.4274200001</v>
      </c>
    </row>
    <row r="26" spans="1:10">
      <c r="A26" s="116"/>
      <c r="B26" s="125"/>
      <c r="C26" s="122"/>
      <c r="D26" s="14" t="s">
        <v>14</v>
      </c>
      <c r="E26" s="15" t="s">
        <v>15</v>
      </c>
      <c r="F26" s="16">
        <v>54.424999999999997</v>
      </c>
      <c r="G26" s="17">
        <v>109.02</v>
      </c>
      <c r="H26" s="18">
        <f>F26*G26</f>
        <v>5933.4134999999997</v>
      </c>
    </row>
    <row r="27" spans="1:10" ht="23.25" customHeight="1">
      <c r="A27" s="116"/>
      <c r="B27" s="125"/>
      <c r="C27" s="122"/>
      <c r="D27" s="14" t="s">
        <v>16</v>
      </c>
      <c r="E27" s="15" t="s">
        <v>15</v>
      </c>
      <c r="F27" s="16">
        <f>3959.166+131.19+16.67</f>
        <v>4107.0259999999998</v>
      </c>
      <c r="G27" s="17">
        <v>109.02</v>
      </c>
      <c r="H27" s="18">
        <f>F27*G27</f>
        <v>447747.97451999999</v>
      </c>
    </row>
    <row r="28" spans="1:10" ht="25.5">
      <c r="A28" s="116"/>
      <c r="B28" s="125"/>
      <c r="C28" s="122"/>
      <c r="D28" s="14" t="s">
        <v>17</v>
      </c>
      <c r="E28" s="15" t="s">
        <v>15</v>
      </c>
      <c r="F28" s="16">
        <f>2274.741+14.756+12.067+2.426+1.874</f>
        <v>2305.8639999999996</v>
      </c>
      <c r="G28" s="17">
        <v>109.02</v>
      </c>
      <c r="H28" s="18">
        <f>F28*G28</f>
        <v>251385.29327999995</v>
      </c>
    </row>
    <row r="29" spans="1:10">
      <c r="A29" s="116"/>
      <c r="B29" s="125"/>
      <c r="C29" s="122"/>
      <c r="D29" s="14" t="s">
        <v>18</v>
      </c>
      <c r="E29" s="15" t="s">
        <v>15</v>
      </c>
      <c r="F29" s="16">
        <v>1089.011</v>
      </c>
      <c r="G29" s="17">
        <v>109.02</v>
      </c>
      <c r="H29" s="18">
        <f>F29*G29</f>
        <v>118723.97921999999</v>
      </c>
    </row>
    <row r="30" spans="1:10">
      <c r="A30" s="116"/>
      <c r="B30" s="125"/>
      <c r="C30" s="122"/>
      <c r="D30" s="35" t="s">
        <v>19</v>
      </c>
      <c r="E30" s="36"/>
      <c r="F30" s="24">
        <f>F25</f>
        <v>61.722999999999999</v>
      </c>
      <c r="G30" s="25"/>
      <c r="H30" s="26">
        <f>H25</f>
        <v>3539168.4274200001</v>
      </c>
    </row>
    <row r="31" spans="1:10" ht="16.5" thickBot="1">
      <c r="A31" s="117"/>
      <c r="B31" s="126"/>
      <c r="C31" s="123"/>
      <c r="D31" s="37" t="s">
        <v>20</v>
      </c>
      <c r="E31" s="38"/>
      <c r="F31" s="30">
        <f>F27+F28+F29+F26</f>
        <v>7556.326</v>
      </c>
      <c r="G31" s="31"/>
      <c r="H31" s="32">
        <f>H27+H28+H29+H26</f>
        <v>823790.66051999992</v>
      </c>
      <c r="J31" s="21"/>
    </row>
    <row r="32" spans="1:10" s="41" customFormat="1" ht="15.75" customHeight="1">
      <c r="A32" s="115">
        <v>5</v>
      </c>
      <c r="B32" s="124" t="s">
        <v>24</v>
      </c>
      <c r="C32" s="121" t="s">
        <v>11</v>
      </c>
      <c r="D32" s="39" t="s">
        <v>12</v>
      </c>
      <c r="E32" s="40" t="s">
        <v>13</v>
      </c>
      <c r="F32" s="11">
        <v>61.722999999999999</v>
      </c>
      <c r="G32" s="12">
        <v>57339.54</v>
      </c>
      <c r="H32" s="13">
        <f>F32*G32</f>
        <v>3539168.4274200001</v>
      </c>
    </row>
    <row r="33" spans="1:10" s="41" customFormat="1">
      <c r="A33" s="116"/>
      <c r="B33" s="125"/>
      <c r="C33" s="122"/>
      <c r="D33" s="14" t="s">
        <v>14</v>
      </c>
      <c r="E33" s="15" t="s">
        <v>15</v>
      </c>
      <c r="F33" s="16">
        <v>45.198999999999998</v>
      </c>
      <c r="G33" s="17">
        <v>109.02</v>
      </c>
      <c r="H33" s="18">
        <f>F33*G33</f>
        <v>4927.5949799999999</v>
      </c>
    </row>
    <row r="34" spans="1:10" s="41" customFormat="1" ht="25.5">
      <c r="A34" s="116"/>
      <c r="B34" s="125"/>
      <c r="C34" s="122"/>
      <c r="D34" s="14" t="s">
        <v>16</v>
      </c>
      <c r="E34" s="15" t="s">
        <v>15</v>
      </c>
      <c r="F34" s="16">
        <f>3914.523+128.239+16.921</f>
        <v>4059.683</v>
      </c>
      <c r="G34" s="17">
        <v>109.02</v>
      </c>
      <c r="H34" s="18">
        <f>F34*G34</f>
        <v>442586.64065999998</v>
      </c>
    </row>
    <row r="35" spans="1:10" s="41" customFormat="1" ht="25.5">
      <c r="A35" s="116"/>
      <c r="B35" s="125"/>
      <c r="C35" s="122"/>
      <c r="D35" s="14" t="s">
        <v>17</v>
      </c>
      <c r="E35" s="15" t="s">
        <v>15</v>
      </c>
      <c r="F35" s="16">
        <f>2345.764+17.082+11.549+2.658+1.936</f>
        <v>2378.989</v>
      </c>
      <c r="G35" s="17">
        <v>109.02</v>
      </c>
      <c r="H35" s="18">
        <f>F35*G35</f>
        <v>259357.38078000001</v>
      </c>
    </row>
    <row r="36" spans="1:10" s="41" customFormat="1" ht="19.5" customHeight="1">
      <c r="A36" s="116"/>
      <c r="B36" s="125"/>
      <c r="C36" s="122"/>
      <c r="D36" s="14" t="s">
        <v>18</v>
      </c>
      <c r="E36" s="15" t="s">
        <v>15</v>
      </c>
      <c r="F36" s="16">
        <v>1115.067</v>
      </c>
      <c r="G36" s="17">
        <v>109.02</v>
      </c>
      <c r="H36" s="18">
        <f>F36*G36</f>
        <v>121564.60433999999</v>
      </c>
    </row>
    <row r="37" spans="1:10" s="41" customFormat="1">
      <c r="A37" s="116"/>
      <c r="B37" s="125"/>
      <c r="C37" s="122"/>
      <c r="D37" s="35" t="s">
        <v>19</v>
      </c>
      <c r="E37" s="36"/>
      <c r="F37" s="24">
        <f>F32</f>
        <v>61.722999999999999</v>
      </c>
      <c r="G37" s="25"/>
      <c r="H37" s="26">
        <f>H32</f>
        <v>3539168.4274200001</v>
      </c>
      <c r="J37" s="42"/>
    </row>
    <row r="38" spans="1:10" s="41" customFormat="1" ht="16.5" thickBot="1">
      <c r="A38" s="117"/>
      <c r="B38" s="126"/>
      <c r="C38" s="123"/>
      <c r="D38" s="37" t="s">
        <v>20</v>
      </c>
      <c r="E38" s="38"/>
      <c r="F38" s="30">
        <f>F34+F35+F36+F33</f>
        <v>7598.9380000000001</v>
      </c>
      <c r="G38" s="31"/>
      <c r="H38" s="32">
        <f>H34+H35+H36+H33</f>
        <v>828436.22076000005</v>
      </c>
      <c r="J38" s="21"/>
    </row>
    <row r="39" spans="1:10" s="41" customFormat="1" ht="15.75" customHeight="1">
      <c r="A39" s="115">
        <v>6</v>
      </c>
      <c r="B39" s="118" t="s">
        <v>25</v>
      </c>
      <c r="C39" s="121" t="s">
        <v>11</v>
      </c>
      <c r="D39" s="39" t="s">
        <v>12</v>
      </c>
      <c r="E39" s="40" t="s">
        <v>13</v>
      </c>
      <c r="F39" s="11">
        <v>61.722999999999999</v>
      </c>
      <c r="G39" s="12">
        <v>57339.54</v>
      </c>
      <c r="H39" s="13">
        <f>F39*G39</f>
        <v>3539168.4274200001</v>
      </c>
    </row>
    <row r="40" spans="1:10" s="41" customFormat="1">
      <c r="A40" s="116"/>
      <c r="B40" s="119"/>
      <c r="C40" s="122"/>
      <c r="D40" s="14" t="s">
        <v>14</v>
      </c>
      <c r="E40" s="15" t="s">
        <v>15</v>
      </c>
      <c r="F40" s="16">
        <v>85.051000000000002</v>
      </c>
      <c r="G40" s="17">
        <v>109.02</v>
      </c>
      <c r="H40" s="18">
        <f>F40*G40</f>
        <v>9272.2600199999997</v>
      </c>
    </row>
    <row r="41" spans="1:10" s="41" customFormat="1" ht="25.5">
      <c r="A41" s="116"/>
      <c r="B41" s="119"/>
      <c r="C41" s="122"/>
      <c r="D41" s="14" t="s">
        <v>16</v>
      </c>
      <c r="E41" s="15" t="s">
        <v>15</v>
      </c>
      <c r="F41" s="16">
        <f>5076.886+131.224+18.848</f>
        <v>5226.9580000000005</v>
      </c>
      <c r="G41" s="17">
        <v>109.02</v>
      </c>
      <c r="H41" s="18">
        <f>F41*G41</f>
        <v>569842.96116000006</v>
      </c>
    </row>
    <row r="42" spans="1:10" s="41" customFormat="1" ht="25.5">
      <c r="A42" s="116"/>
      <c r="B42" s="119"/>
      <c r="C42" s="122"/>
      <c r="D42" s="14" t="s">
        <v>17</v>
      </c>
      <c r="E42" s="15" t="s">
        <v>15</v>
      </c>
      <c r="F42" s="16">
        <f>3111.526+1.91+47.716+4.263+1.873</f>
        <v>3167.2879999999996</v>
      </c>
      <c r="G42" s="17">
        <v>109.02</v>
      </c>
      <c r="H42" s="18">
        <f>F42*G42</f>
        <v>345297.73775999993</v>
      </c>
    </row>
    <row r="43" spans="1:10" s="41" customFormat="1">
      <c r="A43" s="116"/>
      <c r="B43" s="119"/>
      <c r="C43" s="122"/>
      <c r="D43" s="14" t="s">
        <v>18</v>
      </c>
      <c r="E43" s="15" t="s">
        <v>15</v>
      </c>
      <c r="F43" s="16">
        <v>1546.6079999999999</v>
      </c>
      <c r="G43" s="17">
        <v>109.02</v>
      </c>
      <c r="H43" s="18">
        <f>F43*G43</f>
        <v>168611.20415999999</v>
      </c>
    </row>
    <row r="44" spans="1:10" s="41" customFormat="1">
      <c r="A44" s="116"/>
      <c r="B44" s="119"/>
      <c r="C44" s="122"/>
      <c r="D44" s="35" t="s">
        <v>19</v>
      </c>
      <c r="E44" s="36"/>
      <c r="F44" s="24">
        <f>F39</f>
        <v>61.722999999999999</v>
      </c>
      <c r="G44" s="25"/>
      <c r="H44" s="26">
        <f>H39</f>
        <v>3539168.4274200001</v>
      </c>
      <c r="J44" s="42"/>
    </row>
    <row r="45" spans="1:10" s="41" customFormat="1" ht="16.5" thickBot="1">
      <c r="A45" s="117"/>
      <c r="B45" s="120"/>
      <c r="C45" s="123"/>
      <c r="D45" s="37" t="s">
        <v>20</v>
      </c>
      <c r="E45" s="38"/>
      <c r="F45" s="30">
        <f>F41+F42+F43+F40</f>
        <v>10025.904999999999</v>
      </c>
      <c r="G45" s="31"/>
      <c r="H45" s="32">
        <f>H41+H42+H43+H40</f>
        <v>1093024.1631</v>
      </c>
      <c r="J45" s="27"/>
    </row>
    <row r="46" spans="1:10" s="41" customFormat="1" ht="15.75" customHeight="1">
      <c r="A46" s="115">
        <v>7</v>
      </c>
      <c r="B46" s="118" t="s">
        <v>26</v>
      </c>
      <c r="C46" s="121" t="s">
        <v>11</v>
      </c>
      <c r="D46" s="39" t="s">
        <v>12</v>
      </c>
      <c r="E46" s="40" t="s">
        <v>13</v>
      </c>
      <c r="F46" s="11">
        <v>61.722999999999999</v>
      </c>
      <c r="G46" s="12">
        <v>57339.54</v>
      </c>
      <c r="H46" s="13">
        <f>F46*G46</f>
        <v>3539168.4274200001</v>
      </c>
    </row>
    <row r="47" spans="1:10" s="41" customFormat="1">
      <c r="A47" s="116"/>
      <c r="B47" s="119"/>
      <c r="C47" s="122"/>
      <c r="D47" s="14" t="s">
        <v>14</v>
      </c>
      <c r="E47" s="15" t="s">
        <v>15</v>
      </c>
      <c r="F47" s="16">
        <v>116.687</v>
      </c>
      <c r="G47" s="17">
        <v>109.02</v>
      </c>
      <c r="H47" s="18">
        <f>F47*G47</f>
        <v>12721.21674</v>
      </c>
    </row>
    <row r="48" spans="1:10" s="41" customFormat="1" ht="25.5">
      <c r="A48" s="116"/>
      <c r="B48" s="119"/>
      <c r="C48" s="122"/>
      <c r="D48" s="14" t="s">
        <v>16</v>
      </c>
      <c r="E48" s="15" t="s">
        <v>15</v>
      </c>
      <c r="F48" s="16">
        <v>5553.9859999999999</v>
      </c>
      <c r="G48" s="17">
        <v>109.02</v>
      </c>
      <c r="H48" s="18">
        <f>F48*G48</f>
        <v>605495.55371999997</v>
      </c>
    </row>
    <row r="49" spans="1:12" s="41" customFormat="1" ht="25.5">
      <c r="A49" s="116"/>
      <c r="B49" s="119"/>
      <c r="C49" s="122"/>
      <c r="D49" s="14" t="s">
        <v>17</v>
      </c>
      <c r="E49" s="15" t="s">
        <v>15</v>
      </c>
      <c r="F49" s="16">
        <v>3707.0360000000001</v>
      </c>
      <c r="G49" s="17">
        <v>109.02</v>
      </c>
      <c r="H49" s="18">
        <f>F49*G49</f>
        <v>404141.06471999997</v>
      </c>
    </row>
    <row r="50" spans="1:12" s="41" customFormat="1">
      <c r="A50" s="116"/>
      <c r="B50" s="119"/>
      <c r="C50" s="122"/>
      <c r="D50" s="14" t="s">
        <v>18</v>
      </c>
      <c r="E50" s="15" t="s">
        <v>15</v>
      </c>
      <c r="F50" s="16">
        <v>2255.2950000000001</v>
      </c>
      <c r="G50" s="17">
        <v>109.02</v>
      </c>
      <c r="H50" s="18">
        <f>F50*G50</f>
        <v>245872.26089999999</v>
      </c>
    </row>
    <row r="51" spans="1:12" s="41" customFormat="1">
      <c r="A51" s="116"/>
      <c r="B51" s="119"/>
      <c r="C51" s="122"/>
      <c r="D51" s="35" t="s">
        <v>19</v>
      </c>
      <c r="E51" s="36"/>
      <c r="F51" s="24">
        <f>F46</f>
        <v>61.722999999999999</v>
      </c>
      <c r="G51" s="25"/>
      <c r="H51" s="26">
        <f>H46</f>
        <v>3539168.4274200001</v>
      </c>
    </row>
    <row r="52" spans="1:12" s="41" customFormat="1" ht="16.5" thickBot="1">
      <c r="A52" s="117"/>
      <c r="B52" s="120"/>
      <c r="C52" s="123"/>
      <c r="D52" s="37" t="s">
        <v>20</v>
      </c>
      <c r="E52" s="38"/>
      <c r="F52" s="30">
        <f>F48+F49+F50+F47</f>
        <v>11633.004000000001</v>
      </c>
      <c r="G52" s="31"/>
      <c r="H52" s="32">
        <f>H48+H49+H50+H47</f>
        <v>1268230.09608</v>
      </c>
      <c r="J52" s="21"/>
      <c r="L52" s="42"/>
    </row>
    <row r="53" spans="1:12" s="41" customFormat="1" ht="15.75" customHeight="1">
      <c r="A53" s="115">
        <v>8</v>
      </c>
      <c r="B53" s="118" t="s">
        <v>27</v>
      </c>
      <c r="C53" s="121" t="s">
        <v>11</v>
      </c>
      <c r="D53" s="39" t="s">
        <v>12</v>
      </c>
      <c r="E53" s="40" t="s">
        <v>13</v>
      </c>
      <c r="F53" s="11">
        <v>61.722999999999999</v>
      </c>
      <c r="G53" s="12">
        <v>57339.54</v>
      </c>
      <c r="H53" s="13">
        <f>F53*G53</f>
        <v>3539168.4274200001</v>
      </c>
    </row>
    <row r="54" spans="1:12" s="41" customFormat="1">
      <c r="A54" s="116"/>
      <c r="B54" s="119"/>
      <c r="C54" s="122"/>
      <c r="D54" s="14" t="s">
        <v>14</v>
      </c>
      <c r="E54" s="15" t="s">
        <v>15</v>
      </c>
      <c r="F54" s="16">
        <v>84.721000000000004</v>
      </c>
      <c r="G54" s="17">
        <v>109.02</v>
      </c>
      <c r="H54" s="18">
        <f>F54*G54</f>
        <v>9236.2834199999998</v>
      </c>
    </row>
    <row r="55" spans="1:12" s="41" customFormat="1" ht="25.5">
      <c r="A55" s="116"/>
      <c r="B55" s="119"/>
      <c r="C55" s="122"/>
      <c r="D55" s="14" t="s">
        <v>16</v>
      </c>
      <c r="E55" s="15" t="s">
        <v>15</v>
      </c>
      <c r="F55" s="16">
        <f>5250.503+96.595+19.593</f>
        <v>5366.6909999999998</v>
      </c>
      <c r="G55" s="17">
        <v>109.02</v>
      </c>
      <c r="H55" s="18">
        <f>F55*G55</f>
        <v>585076.65281999996</v>
      </c>
    </row>
    <row r="56" spans="1:12" s="41" customFormat="1" ht="25.5">
      <c r="A56" s="116"/>
      <c r="B56" s="119"/>
      <c r="C56" s="122"/>
      <c r="D56" s="14" t="s">
        <v>17</v>
      </c>
      <c r="E56" s="15" t="s">
        <v>15</v>
      </c>
      <c r="F56" s="16">
        <f>3325.768+2.454+6.644+5.625+1.937</f>
        <v>3342.4279999999999</v>
      </c>
      <c r="G56" s="17">
        <v>109.02</v>
      </c>
      <c r="H56" s="18">
        <f>F56*G56</f>
        <v>364391.50055999996</v>
      </c>
    </row>
    <row r="57" spans="1:12" s="41" customFormat="1">
      <c r="A57" s="116"/>
      <c r="B57" s="119"/>
      <c r="C57" s="122"/>
      <c r="D57" s="14" t="s">
        <v>18</v>
      </c>
      <c r="E57" s="15" t="s">
        <v>15</v>
      </c>
      <c r="F57" s="16">
        <v>2129.8420000000001</v>
      </c>
      <c r="G57" s="17">
        <v>109.02</v>
      </c>
      <c r="H57" s="18">
        <f>F57*G57</f>
        <v>232195.37484</v>
      </c>
    </row>
    <row r="58" spans="1:12" s="41" customFormat="1">
      <c r="A58" s="116"/>
      <c r="B58" s="119"/>
      <c r="C58" s="122"/>
      <c r="D58" s="35" t="s">
        <v>19</v>
      </c>
      <c r="E58" s="36"/>
      <c r="F58" s="24">
        <f>F53</f>
        <v>61.722999999999999</v>
      </c>
      <c r="G58" s="25"/>
      <c r="H58" s="26">
        <f>H53</f>
        <v>3539168.4274200001</v>
      </c>
    </row>
    <row r="59" spans="1:12" s="41" customFormat="1" ht="16.5" thickBot="1">
      <c r="A59" s="117"/>
      <c r="B59" s="120"/>
      <c r="C59" s="123"/>
      <c r="D59" s="37" t="s">
        <v>20</v>
      </c>
      <c r="E59" s="38"/>
      <c r="F59" s="30">
        <f>F55+F56+F57+F54</f>
        <v>10923.681999999999</v>
      </c>
      <c r="G59" s="31"/>
      <c r="H59" s="32">
        <f>H55+H56+H57+H54</f>
        <v>1190899.81164</v>
      </c>
    </row>
    <row r="60" spans="1:12" s="41" customFormat="1" ht="16.5" customHeight="1">
      <c r="A60" s="115">
        <v>9</v>
      </c>
      <c r="B60" s="118" t="s">
        <v>28</v>
      </c>
      <c r="C60" s="121" t="s">
        <v>11</v>
      </c>
      <c r="D60" s="39" t="s">
        <v>12</v>
      </c>
      <c r="E60" s="40" t="s">
        <v>13</v>
      </c>
      <c r="F60" s="11">
        <v>61.722999999999999</v>
      </c>
      <c r="G60" s="12">
        <v>57339.54</v>
      </c>
      <c r="H60" s="13">
        <f>F60*G60</f>
        <v>3539168.4274200001</v>
      </c>
    </row>
    <row r="61" spans="1:12" s="41" customFormat="1" ht="16.5" customHeight="1">
      <c r="A61" s="116"/>
      <c r="B61" s="119"/>
      <c r="C61" s="122"/>
      <c r="D61" s="14" t="s">
        <v>14</v>
      </c>
      <c r="E61" s="15" t="s">
        <v>15</v>
      </c>
      <c r="F61" s="16">
        <v>6.18</v>
      </c>
      <c r="G61" s="17">
        <v>109.02</v>
      </c>
      <c r="H61" s="18">
        <f>F61*G61</f>
        <v>673.7435999999999</v>
      </c>
    </row>
    <row r="62" spans="1:12" s="41" customFormat="1" ht="25.5">
      <c r="A62" s="116"/>
      <c r="B62" s="119"/>
      <c r="C62" s="122"/>
      <c r="D62" s="14" t="s">
        <v>16</v>
      </c>
      <c r="E62" s="15" t="s">
        <v>15</v>
      </c>
      <c r="F62" s="16">
        <f>4205.093-7.247+17.155</f>
        <v>4215.0009999999993</v>
      </c>
      <c r="G62" s="17">
        <v>109.02</v>
      </c>
      <c r="H62" s="18">
        <f>F62*G62</f>
        <v>459519.4090199999</v>
      </c>
    </row>
    <row r="63" spans="1:12" s="41" customFormat="1" ht="25.5">
      <c r="A63" s="116"/>
      <c r="B63" s="119"/>
      <c r="C63" s="122"/>
      <c r="D63" s="14" t="s">
        <v>17</v>
      </c>
      <c r="E63" s="15" t="s">
        <v>15</v>
      </c>
      <c r="F63" s="16">
        <f>2717.15+5.546+0.001+3.591+1.873</f>
        <v>2728.1610000000001</v>
      </c>
      <c r="G63" s="17">
        <v>109.02</v>
      </c>
      <c r="H63" s="18">
        <f>F63*G63</f>
        <v>297424.11222000001</v>
      </c>
    </row>
    <row r="64" spans="1:12" s="41" customFormat="1">
      <c r="A64" s="116"/>
      <c r="B64" s="119"/>
      <c r="C64" s="122"/>
      <c r="D64" s="14" t="s">
        <v>18</v>
      </c>
      <c r="E64" s="15" t="s">
        <v>15</v>
      </c>
      <c r="F64" s="16">
        <v>1846.059</v>
      </c>
      <c r="G64" s="17">
        <v>109.02</v>
      </c>
      <c r="H64" s="18">
        <f>F64*G64</f>
        <v>201257.35217999999</v>
      </c>
    </row>
    <row r="65" spans="1:8" s="41" customFormat="1">
      <c r="A65" s="116"/>
      <c r="B65" s="119"/>
      <c r="C65" s="122"/>
      <c r="D65" s="35" t="s">
        <v>19</v>
      </c>
      <c r="E65" s="36"/>
      <c r="F65" s="24">
        <f>F60</f>
        <v>61.722999999999999</v>
      </c>
      <c r="G65" s="25"/>
      <c r="H65" s="26">
        <f>H60</f>
        <v>3539168.4274200001</v>
      </c>
    </row>
    <row r="66" spans="1:8" s="41" customFormat="1" ht="16.5" thickBot="1">
      <c r="A66" s="117"/>
      <c r="B66" s="120"/>
      <c r="C66" s="123"/>
      <c r="D66" s="37" t="s">
        <v>20</v>
      </c>
      <c r="E66" s="38"/>
      <c r="F66" s="30">
        <f>F62+F63+F64+F61</f>
        <v>8795.4009999999998</v>
      </c>
      <c r="G66" s="31"/>
      <c r="H66" s="32">
        <f>H62+H63+H64+H61</f>
        <v>958874.61701999989</v>
      </c>
    </row>
    <row r="67" spans="1:8" s="41" customFormat="1" ht="16.5" customHeight="1">
      <c r="A67" s="115">
        <v>10</v>
      </c>
      <c r="B67" s="118" t="s">
        <v>29</v>
      </c>
      <c r="C67" s="121" t="s">
        <v>11</v>
      </c>
      <c r="D67" s="39" t="s">
        <v>12</v>
      </c>
      <c r="E67" s="40" t="s">
        <v>13</v>
      </c>
      <c r="F67" s="11">
        <v>61.722999999999999</v>
      </c>
      <c r="G67" s="12">
        <v>57339.54</v>
      </c>
      <c r="H67" s="13">
        <f>F67*G67</f>
        <v>3539168.4274200001</v>
      </c>
    </row>
    <row r="68" spans="1:8" s="41" customFormat="1" ht="16.5" customHeight="1">
      <c r="A68" s="116"/>
      <c r="B68" s="119"/>
      <c r="C68" s="122"/>
      <c r="D68" s="14" t="s">
        <v>14</v>
      </c>
      <c r="E68" s="15" t="s">
        <v>15</v>
      </c>
      <c r="F68" s="16">
        <v>67.513999999999996</v>
      </c>
      <c r="G68" s="17">
        <v>109.02</v>
      </c>
      <c r="H68" s="18">
        <f>F68*G68</f>
        <v>7360.3762799999995</v>
      </c>
    </row>
    <row r="69" spans="1:8" s="41" customFormat="1" ht="25.5">
      <c r="A69" s="116"/>
      <c r="B69" s="119"/>
      <c r="C69" s="122"/>
      <c r="D69" s="14" t="s">
        <v>16</v>
      </c>
      <c r="E69" s="15" t="s">
        <v>15</v>
      </c>
      <c r="F69" s="16">
        <f>3996.058+130.401+16.639</f>
        <v>4143.098</v>
      </c>
      <c r="G69" s="17">
        <v>109.02</v>
      </c>
      <c r="H69" s="18">
        <f>F69*G69</f>
        <v>451680.54395999998</v>
      </c>
    </row>
    <row r="70" spans="1:8" s="41" customFormat="1" ht="25.5">
      <c r="A70" s="116"/>
      <c r="B70" s="119"/>
      <c r="C70" s="122"/>
      <c r="D70" s="14" t="s">
        <v>17</v>
      </c>
      <c r="E70" s="15" t="s">
        <v>15</v>
      </c>
      <c r="F70" s="16">
        <f>2403.295+3.322+3.903+1.936</f>
        <v>2412.4560000000001</v>
      </c>
      <c r="G70" s="17">
        <v>109.02</v>
      </c>
      <c r="H70" s="18">
        <f>F70*G70</f>
        <v>263005.95312000002</v>
      </c>
    </row>
    <row r="71" spans="1:8" s="41" customFormat="1">
      <c r="A71" s="116"/>
      <c r="B71" s="119"/>
      <c r="C71" s="122"/>
      <c r="D71" s="14" t="s">
        <v>18</v>
      </c>
      <c r="E71" s="15" t="s">
        <v>15</v>
      </c>
      <c r="F71" s="16">
        <v>1483.9949999999999</v>
      </c>
      <c r="G71" s="17">
        <v>109.02</v>
      </c>
      <c r="H71" s="18">
        <f>F71*G71</f>
        <v>161785.13489999998</v>
      </c>
    </row>
    <row r="72" spans="1:8" s="41" customFormat="1">
      <c r="A72" s="116"/>
      <c r="B72" s="119"/>
      <c r="C72" s="122"/>
      <c r="D72" s="35" t="s">
        <v>19</v>
      </c>
      <c r="E72" s="36"/>
      <c r="F72" s="24">
        <f>F67</f>
        <v>61.722999999999999</v>
      </c>
      <c r="G72" s="25"/>
      <c r="H72" s="26">
        <f>H67</f>
        <v>3539168.4274200001</v>
      </c>
    </row>
    <row r="73" spans="1:8" s="41" customFormat="1" ht="16.5" thickBot="1">
      <c r="A73" s="117"/>
      <c r="B73" s="120"/>
      <c r="C73" s="123"/>
      <c r="D73" s="37" t="s">
        <v>20</v>
      </c>
      <c r="E73" s="38"/>
      <c r="F73" s="30">
        <f>F69+F70+F71+F68</f>
        <v>8107.0630000000001</v>
      </c>
      <c r="G73" s="31"/>
      <c r="H73" s="32">
        <f>H69+H70+H71+H68</f>
        <v>883832.00825999992</v>
      </c>
    </row>
    <row r="74" spans="1:8" s="43" customFormat="1" ht="16.5" customHeight="1">
      <c r="A74" s="115">
        <v>11</v>
      </c>
      <c r="B74" s="118" t="s">
        <v>30</v>
      </c>
      <c r="C74" s="121" t="s">
        <v>11</v>
      </c>
      <c r="D74" s="39" t="s">
        <v>12</v>
      </c>
      <c r="E74" s="40" t="s">
        <v>13</v>
      </c>
      <c r="F74" s="11">
        <v>61.722999999999999</v>
      </c>
      <c r="G74" s="12">
        <v>57339.54</v>
      </c>
      <c r="H74" s="13">
        <f>F74*G74</f>
        <v>3539168.4274200001</v>
      </c>
    </row>
    <row r="75" spans="1:8" s="43" customFormat="1" ht="16.5" customHeight="1">
      <c r="A75" s="116"/>
      <c r="B75" s="119"/>
      <c r="C75" s="122"/>
      <c r="D75" s="14" t="s">
        <v>14</v>
      </c>
      <c r="E75" s="15" t="s">
        <v>15</v>
      </c>
      <c r="F75" s="16">
        <v>11.554</v>
      </c>
      <c r="G75" s="17">
        <v>109.02</v>
      </c>
      <c r="H75" s="18">
        <f>F75*G75</f>
        <v>1259.61708</v>
      </c>
    </row>
    <row r="76" spans="1:8" s="43" customFormat="1" ht="25.5">
      <c r="A76" s="116"/>
      <c r="B76" s="119"/>
      <c r="C76" s="122"/>
      <c r="D76" s="14" t="s">
        <v>16</v>
      </c>
      <c r="E76" s="15" t="s">
        <v>15</v>
      </c>
      <c r="F76" s="16">
        <f>5082.861+112.238+15.737</f>
        <v>5210.8360000000002</v>
      </c>
      <c r="G76" s="17">
        <v>109.02</v>
      </c>
      <c r="H76" s="18">
        <f>F76*G76</f>
        <v>568085.34071999998</v>
      </c>
    </row>
    <row r="77" spans="1:8" s="43" customFormat="1" ht="25.5">
      <c r="A77" s="116"/>
      <c r="B77" s="119"/>
      <c r="C77" s="122"/>
      <c r="D77" s="14" t="s">
        <v>17</v>
      </c>
      <c r="E77" s="15" t="s">
        <v>15</v>
      </c>
      <c r="F77" s="16">
        <f>2481.811+3.575+4.112+1.877</f>
        <v>2491.375</v>
      </c>
      <c r="G77" s="17">
        <v>109.02</v>
      </c>
      <c r="H77" s="18">
        <f>F77*G77</f>
        <v>271609.70250000001</v>
      </c>
    </row>
    <row r="78" spans="1:8" s="43" customFormat="1">
      <c r="A78" s="116"/>
      <c r="B78" s="119"/>
      <c r="C78" s="122"/>
      <c r="D78" s="14" t="s">
        <v>18</v>
      </c>
      <c r="E78" s="15" t="s">
        <v>15</v>
      </c>
      <c r="F78" s="16">
        <v>1578.0119999999999</v>
      </c>
      <c r="G78" s="17">
        <v>109.02</v>
      </c>
      <c r="H78" s="18">
        <f>F78*G78</f>
        <v>172034.86823999998</v>
      </c>
    </row>
    <row r="79" spans="1:8" s="43" customFormat="1">
      <c r="A79" s="116"/>
      <c r="B79" s="119"/>
      <c r="C79" s="122"/>
      <c r="D79" s="35" t="s">
        <v>19</v>
      </c>
      <c r="E79" s="36"/>
      <c r="F79" s="24">
        <f>F74</f>
        <v>61.722999999999999</v>
      </c>
      <c r="G79" s="25"/>
      <c r="H79" s="26">
        <f>H74</f>
        <v>3539168.4274200001</v>
      </c>
    </row>
    <row r="80" spans="1:8" s="43" customFormat="1" ht="16.5" thickBot="1">
      <c r="A80" s="117"/>
      <c r="B80" s="120"/>
      <c r="C80" s="123"/>
      <c r="D80" s="37" t="s">
        <v>20</v>
      </c>
      <c r="E80" s="38"/>
      <c r="F80" s="30">
        <f>F76+F77+F78+F75</f>
        <v>9291.777</v>
      </c>
      <c r="G80" s="31"/>
      <c r="H80" s="32">
        <f>H76+H77+H78+H75</f>
        <v>1012989.52854</v>
      </c>
    </row>
    <row r="81" spans="1:16" s="41" customFormat="1" ht="16.5" hidden="1" customHeight="1">
      <c r="A81" s="115">
        <v>12</v>
      </c>
      <c r="B81" s="118" t="s">
        <v>31</v>
      </c>
      <c r="C81" s="121" t="s">
        <v>11</v>
      </c>
      <c r="D81" s="39" t="s">
        <v>12</v>
      </c>
      <c r="E81" s="40" t="s">
        <v>13</v>
      </c>
      <c r="F81" s="11">
        <v>61.722999999999999</v>
      </c>
      <c r="G81" s="12">
        <v>57339.54</v>
      </c>
      <c r="H81" s="13">
        <f>F81*G81</f>
        <v>3539168.4274200001</v>
      </c>
    </row>
    <row r="82" spans="1:16" s="41" customFormat="1" ht="16.5" hidden="1" customHeight="1">
      <c r="A82" s="116"/>
      <c r="B82" s="119"/>
      <c r="C82" s="122"/>
      <c r="D82" s="14" t="s">
        <v>14</v>
      </c>
      <c r="E82" s="15" t="s">
        <v>15</v>
      </c>
      <c r="F82" s="16"/>
      <c r="G82" s="17">
        <v>109.02</v>
      </c>
      <c r="H82" s="18">
        <f>F82*G82</f>
        <v>0</v>
      </c>
    </row>
    <row r="83" spans="1:16" s="41" customFormat="1" ht="25.5" hidden="1">
      <c r="A83" s="116"/>
      <c r="B83" s="119"/>
      <c r="C83" s="122"/>
      <c r="D83" s="14" t="s">
        <v>16</v>
      </c>
      <c r="E83" s="15" t="s">
        <v>15</v>
      </c>
      <c r="F83" s="16"/>
      <c r="G83" s="17">
        <v>109.02</v>
      </c>
      <c r="H83" s="18">
        <f>F83*G83</f>
        <v>0</v>
      </c>
    </row>
    <row r="84" spans="1:16" s="41" customFormat="1" ht="25.5" hidden="1">
      <c r="A84" s="116"/>
      <c r="B84" s="119"/>
      <c r="C84" s="122"/>
      <c r="D84" s="14" t="s">
        <v>17</v>
      </c>
      <c r="E84" s="15" t="s">
        <v>15</v>
      </c>
      <c r="F84" s="16"/>
      <c r="G84" s="17">
        <v>109.02</v>
      </c>
      <c r="H84" s="18">
        <f>F84*G84</f>
        <v>0</v>
      </c>
    </row>
    <row r="85" spans="1:16" s="41" customFormat="1" hidden="1">
      <c r="A85" s="116"/>
      <c r="B85" s="119"/>
      <c r="C85" s="122"/>
      <c r="D85" s="14" t="s">
        <v>18</v>
      </c>
      <c r="E85" s="15" t="s">
        <v>15</v>
      </c>
      <c r="F85" s="16"/>
      <c r="G85" s="17">
        <v>109.02</v>
      </c>
      <c r="H85" s="18">
        <f>F85*G85</f>
        <v>0</v>
      </c>
    </row>
    <row r="86" spans="1:16" s="41" customFormat="1" hidden="1">
      <c r="A86" s="116"/>
      <c r="B86" s="119"/>
      <c r="C86" s="122"/>
      <c r="D86" s="35" t="s">
        <v>19</v>
      </c>
      <c r="E86" s="36"/>
      <c r="F86" s="24">
        <f>F81</f>
        <v>61.722999999999999</v>
      </c>
      <c r="G86" s="25"/>
      <c r="H86" s="26">
        <f>H81</f>
        <v>3539168.4274200001</v>
      </c>
    </row>
    <row r="87" spans="1:16" s="41" customFormat="1" ht="16.5" hidden="1" thickBot="1">
      <c r="A87" s="117"/>
      <c r="B87" s="120"/>
      <c r="C87" s="123"/>
      <c r="D87" s="37" t="s">
        <v>20</v>
      </c>
      <c r="E87" s="38"/>
      <c r="F87" s="30">
        <f>F83+F84+F85+F82</f>
        <v>0</v>
      </c>
      <c r="G87" s="31"/>
      <c r="H87" s="32">
        <f>H83+H84+H85+H82</f>
        <v>0</v>
      </c>
    </row>
    <row r="88" spans="1:16" ht="15.75" customHeight="1">
      <c r="A88" s="115"/>
      <c r="B88" s="118">
        <v>2024</v>
      </c>
      <c r="C88" s="121" t="s">
        <v>11</v>
      </c>
      <c r="D88" s="39" t="s">
        <v>12</v>
      </c>
      <c r="E88" s="40" t="s">
        <v>13</v>
      </c>
      <c r="F88" s="11">
        <v>61.722999999999999</v>
      </c>
      <c r="G88" s="12">
        <v>57339.54</v>
      </c>
      <c r="H88" s="44">
        <f>F88*G88*11</f>
        <v>38930852.701619998</v>
      </c>
      <c r="I88" s="45"/>
      <c r="J88" s="27"/>
    </row>
    <row r="89" spans="1:16">
      <c r="A89" s="116"/>
      <c r="B89" s="119"/>
      <c r="C89" s="122"/>
      <c r="D89" s="14" t="s">
        <v>14</v>
      </c>
      <c r="E89" s="15" t="s">
        <v>15</v>
      </c>
      <c r="F89" s="47">
        <f>F5+F12+F19+F26+F33+F40+F47+F54+F61+F68+F75+F82</f>
        <v>681.47500000000002</v>
      </c>
      <c r="G89" s="17">
        <v>109.02</v>
      </c>
      <c r="H89" s="18">
        <f>F89*G89</f>
        <v>74294.404500000004</v>
      </c>
      <c r="J89" s="21"/>
      <c r="K89" s="46"/>
      <c r="L89" s="46"/>
    </row>
    <row r="90" spans="1:16" ht="25.5">
      <c r="A90" s="116"/>
      <c r="B90" s="119"/>
      <c r="C90" s="122"/>
      <c r="D90" s="14" t="s">
        <v>16</v>
      </c>
      <c r="E90" s="15" t="s">
        <v>15</v>
      </c>
      <c r="F90" s="47">
        <f>F6+F13+F20+F27+F34+F41+F48+F55+F62+F69+F76+F83</f>
        <v>53716.487000000001</v>
      </c>
      <c r="G90" s="17">
        <v>109.02</v>
      </c>
      <c r="H90" s="18">
        <f>F90*G90</f>
        <v>5856171.4127399996</v>
      </c>
      <c r="J90" s="21"/>
      <c r="K90" s="21"/>
      <c r="L90" s="21"/>
    </row>
    <row r="91" spans="1:16" ht="25.5">
      <c r="A91" s="116"/>
      <c r="B91" s="119"/>
      <c r="C91" s="122"/>
      <c r="D91" s="14" t="s">
        <v>17</v>
      </c>
      <c r="E91" s="15" t="s">
        <v>15</v>
      </c>
      <c r="F91" s="47">
        <f>F7+F14+F21+F28+F35+F42+F49+F56+F63+F70+F77+F84</f>
        <v>30572.919000000002</v>
      </c>
      <c r="G91" s="17">
        <v>109.02</v>
      </c>
      <c r="H91" s="18">
        <f>F91*G91</f>
        <v>3333059.6293800003</v>
      </c>
      <c r="J91" s="21"/>
      <c r="K91" s="21"/>
      <c r="L91" s="21"/>
    </row>
    <row r="92" spans="1:16">
      <c r="A92" s="116"/>
      <c r="B92" s="119"/>
      <c r="C92" s="122"/>
      <c r="D92" s="14" t="s">
        <v>18</v>
      </c>
      <c r="E92" s="15" t="s">
        <v>15</v>
      </c>
      <c r="F92" s="47">
        <f>F8+F15+F22+F29+F36+F43+F50+F57+F64+F71+F78+F85</f>
        <v>16756.785</v>
      </c>
      <c r="G92" s="17">
        <v>109.02</v>
      </c>
      <c r="H92" s="18">
        <f>F92*G92</f>
        <v>1826824.7006999999</v>
      </c>
      <c r="I92" s="43"/>
      <c r="K92" s="21"/>
      <c r="L92" s="21"/>
    </row>
    <row r="93" spans="1:16">
      <c r="A93" s="116"/>
      <c r="B93" s="119"/>
      <c r="C93" s="122"/>
      <c r="D93" s="35" t="s">
        <v>19</v>
      </c>
      <c r="E93" s="36"/>
      <c r="F93" s="24">
        <f>F88</f>
        <v>61.722999999999999</v>
      </c>
      <c r="G93" s="25"/>
      <c r="H93" s="26">
        <f>H88</f>
        <v>38930852.701619998</v>
      </c>
      <c r="I93" s="42"/>
      <c r="J93" s="48"/>
      <c r="K93" s="48"/>
      <c r="L93" s="49"/>
      <c r="M93" s="27"/>
      <c r="N93" s="45"/>
      <c r="P93" s="27"/>
    </row>
    <row r="94" spans="1:16" ht="16.5" thickBot="1">
      <c r="A94" s="117"/>
      <c r="B94" s="120"/>
      <c r="C94" s="123"/>
      <c r="D94" s="37" t="s">
        <v>20</v>
      </c>
      <c r="E94" s="38"/>
      <c r="F94" s="30">
        <f>F90+F91+F92+F89</f>
        <v>101727.66600000001</v>
      </c>
      <c r="G94" s="31"/>
      <c r="H94" s="32">
        <f>H90+H91+H92+H89</f>
        <v>11090350.14732</v>
      </c>
      <c r="I94" s="42"/>
      <c r="J94" s="109"/>
      <c r="K94" s="48"/>
      <c r="L94" s="48"/>
      <c r="N94" s="45"/>
      <c r="P94" s="27"/>
    </row>
    <row r="95" spans="1:16">
      <c r="A95" s="50"/>
      <c r="B95" s="50"/>
      <c r="C95" s="51"/>
      <c r="D95" s="52"/>
      <c r="E95" s="53"/>
      <c r="F95" s="54"/>
      <c r="G95" s="55"/>
      <c r="H95" s="55"/>
      <c r="J95" s="110"/>
      <c r="K95" s="27"/>
    </row>
    <row r="96" spans="1:16" s="56" customFormat="1" ht="18.75">
      <c r="E96" s="112"/>
      <c r="H96" s="58"/>
      <c r="J96" s="59"/>
      <c r="L96" s="58"/>
      <c r="M96" s="58"/>
    </row>
    <row r="97" spans="2:12" s="56" customFormat="1" ht="18.75">
      <c r="B97" s="56" t="s">
        <v>32</v>
      </c>
      <c r="E97" s="112"/>
      <c r="F97" s="56" t="s">
        <v>33</v>
      </c>
      <c r="L97" s="59"/>
    </row>
    <row r="98" spans="2:12" s="56" customFormat="1" ht="18.75">
      <c r="E98" s="112"/>
      <c r="J98" s="27"/>
    </row>
    <row r="99" spans="2:12" s="56" customFormat="1" ht="18.75">
      <c r="B99" s="56" t="s">
        <v>34</v>
      </c>
      <c r="E99" s="112"/>
      <c r="F99" s="56" t="s">
        <v>35</v>
      </c>
      <c r="J99" s="27"/>
    </row>
    <row r="100" spans="2:12">
      <c r="J100" s="111"/>
    </row>
    <row r="103" spans="2:12">
      <c r="H103" s="27"/>
    </row>
  </sheetData>
  <mergeCells count="41">
    <mergeCell ref="A11:A17"/>
    <mergeCell ref="B11:B17"/>
    <mergeCell ref="C11:C17"/>
    <mergeCell ref="A1:H1"/>
    <mergeCell ref="J3:L3"/>
    <mergeCell ref="A4:A10"/>
    <mergeCell ref="B4:B10"/>
    <mergeCell ref="C4:C10"/>
    <mergeCell ref="A18:A24"/>
    <mergeCell ref="B18:B24"/>
    <mergeCell ref="C18:C24"/>
    <mergeCell ref="A25:A31"/>
    <mergeCell ref="B25:B31"/>
    <mergeCell ref="C25:C31"/>
    <mergeCell ref="A32:A38"/>
    <mergeCell ref="B32:B38"/>
    <mergeCell ref="C32:C38"/>
    <mergeCell ref="A39:A45"/>
    <mergeCell ref="B39:B45"/>
    <mergeCell ref="C39:C45"/>
    <mergeCell ref="A46:A52"/>
    <mergeCell ref="B46:B52"/>
    <mergeCell ref="C46:C52"/>
    <mergeCell ref="A53:A59"/>
    <mergeCell ref="B53:B59"/>
    <mergeCell ref="C53:C59"/>
    <mergeCell ref="A60:A66"/>
    <mergeCell ref="B60:B66"/>
    <mergeCell ref="C60:C66"/>
    <mergeCell ref="A67:A73"/>
    <mergeCell ref="B67:B73"/>
    <mergeCell ref="C67:C73"/>
    <mergeCell ref="A88:A94"/>
    <mergeCell ref="B88:B94"/>
    <mergeCell ref="C88:C94"/>
    <mergeCell ref="A74:A80"/>
    <mergeCell ref="B74:B80"/>
    <mergeCell ref="C74:C80"/>
    <mergeCell ref="A81:A87"/>
    <mergeCell ref="B81:B87"/>
    <mergeCell ref="C81:C8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6"/>
  <sheetViews>
    <sheetView workbookViewId="0">
      <selection activeCell="M18" sqref="M18"/>
    </sheetView>
  </sheetViews>
  <sheetFormatPr defaultRowHeight="15.75"/>
  <cols>
    <col min="1" max="1" width="5.5703125" style="2" customWidth="1"/>
    <col min="2" max="2" width="10.28515625" style="2" customWidth="1"/>
    <col min="3" max="3" width="17.140625" style="2" customWidth="1"/>
    <col min="4" max="4" width="43.28515625" style="2" customWidth="1"/>
    <col min="5" max="5" width="15" style="3" customWidth="1"/>
    <col min="6" max="6" width="18.28515625" style="2" customWidth="1"/>
    <col min="7" max="7" width="15.28515625" style="2" customWidth="1"/>
    <col min="8" max="8" width="19.85546875" style="2" customWidth="1"/>
    <col min="9" max="9" width="9.140625" style="2"/>
    <col min="10" max="10" width="17.5703125" style="2" customWidth="1"/>
    <col min="11" max="256" width="9.140625" style="2"/>
    <col min="257" max="257" width="5.5703125" style="2" customWidth="1"/>
    <col min="258" max="258" width="10.28515625" style="2" customWidth="1"/>
    <col min="259" max="259" width="17.140625" style="2" customWidth="1"/>
    <col min="260" max="260" width="43.28515625" style="2" customWidth="1"/>
    <col min="261" max="261" width="15" style="2" customWidth="1"/>
    <col min="262" max="262" width="18.28515625" style="2" customWidth="1"/>
    <col min="263" max="263" width="15.28515625" style="2" customWidth="1"/>
    <col min="264" max="264" width="19.85546875" style="2" customWidth="1"/>
    <col min="265" max="265" width="9.140625" style="2"/>
    <col min="266" max="266" width="17.5703125" style="2" customWidth="1"/>
    <col min="267" max="512" width="9.140625" style="2"/>
    <col min="513" max="513" width="5.5703125" style="2" customWidth="1"/>
    <col min="514" max="514" width="10.28515625" style="2" customWidth="1"/>
    <col min="515" max="515" width="17.140625" style="2" customWidth="1"/>
    <col min="516" max="516" width="43.28515625" style="2" customWidth="1"/>
    <col min="517" max="517" width="15" style="2" customWidth="1"/>
    <col min="518" max="518" width="18.28515625" style="2" customWidth="1"/>
    <col min="519" max="519" width="15.28515625" style="2" customWidth="1"/>
    <col min="520" max="520" width="19.85546875" style="2" customWidth="1"/>
    <col min="521" max="521" width="9.140625" style="2"/>
    <col min="522" max="522" width="17.5703125" style="2" customWidth="1"/>
    <col min="523" max="768" width="9.140625" style="2"/>
    <col min="769" max="769" width="5.5703125" style="2" customWidth="1"/>
    <col min="770" max="770" width="10.28515625" style="2" customWidth="1"/>
    <col min="771" max="771" width="17.140625" style="2" customWidth="1"/>
    <col min="772" max="772" width="43.28515625" style="2" customWidth="1"/>
    <col min="773" max="773" width="15" style="2" customWidth="1"/>
    <col min="774" max="774" width="18.28515625" style="2" customWidth="1"/>
    <col min="775" max="775" width="15.28515625" style="2" customWidth="1"/>
    <col min="776" max="776" width="19.85546875" style="2" customWidth="1"/>
    <col min="777" max="777" width="9.140625" style="2"/>
    <col min="778" max="778" width="17.5703125" style="2" customWidth="1"/>
    <col min="779" max="1024" width="9.140625" style="2"/>
    <col min="1025" max="1025" width="5.5703125" style="2" customWidth="1"/>
    <col min="1026" max="1026" width="10.28515625" style="2" customWidth="1"/>
    <col min="1027" max="1027" width="17.140625" style="2" customWidth="1"/>
    <col min="1028" max="1028" width="43.28515625" style="2" customWidth="1"/>
    <col min="1029" max="1029" width="15" style="2" customWidth="1"/>
    <col min="1030" max="1030" width="18.28515625" style="2" customWidth="1"/>
    <col min="1031" max="1031" width="15.28515625" style="2" customWidth="1"/>
    <col min="1032" max="1032" width="19.85546875" style="2" customWidth="1"/>
    <col min="1033" max="1033" width="9.140625" style="2"/>
    <col min="1034" max="1034" width="17.5703125" style="2" customWidth="1"/>
    <col min="1035" max="1280" width="9.140625" style="2"/>
    <col min="1281" max="1281" width="5.5703125" style="2" customWidth="1"/>
    <col min="1282" max="1282" width="10.28515625" style="2" customWidth="1"/>
    <col min="1283" max="1283" width="17.140625" style="2" customWidth="1"/>
    <col min="1284" max="1284" width="43.28515625" style="2" customWidth="1"/>
    <col min="1285" max="1285" width="15" style="2" customWidth="1"/>
    <col min="1286" max="1286" width="18.28515625" style="2" customWidth="1"/>
    <col min="1287" max="1287" width="15.28515625" style="2" customWidth="1"/>
    <col min="1288" max="1288" width="19.85546875" style="2" customWidth="1"/>
    <col min="1289" max="1289" width="9.140625" style="2"/>
    <col min="1290" max="1290" width="17.5703125" style="2" customWidth="1"/>
    <col min="1291" max="1536" width="9.140625" style="2"/>
    <col min="1537" max="1537" width="5.5703125" style="2" customWidth="1"/>
    <col min="1538" max="1538" width="10.28515625" style="2" customWidth="1"/>
    <col min="1539" max="1539" width="17.140625" style="2" customWidth="1"/>
    <col min="1540" max="1540" width="43.28515625" style="2" customWidth="1"/>
    <col min="1541" max="1541" width="15" style="2" customWidth="1"/>
    <col min="1542" max="1542" width="18.28515625" style="2" customWidth="1"/>
    <col min="1543" max="1543" width="15.28515625" style="2" customWidth="1"/>
    <col min="1544" max="1544" width="19.85546875" style="2" customWidth="1"/>
    <col min="1545" max="1545" width="9.140625" style="2"/>
    <col min="1546" max="1546" width="17.5703125" style="2" customWidth="1"/>
    <col min="1547" max="1792" width="9.140625" style="2"/>
    <col min="1793" max="1793" width="5.5703125" style="2" customWidth="1"/>
    <col min="1794" max="1794" width="10.28515625" style="2" customWidth="1"/>
    <col min="1795" max="1795" width="17.140625" style="2" customWidth="1"/>
    <col min="1796" max="1796" width="43.28515625" style="2" customWidth="1"/>
    <col min="1797" max="1797" width="15" style="2" customWidth="1"/>
    <col min="1798" max="1798" width="18.28515625" style="2" customWidth="1"/>
    <col min="1799" max="1799" width="15.28515625" style="2" customWidth="1"/>
    <col min="1800" max="1800" width="19.85546875" style="2" customWidth="1"/>
    <col min="1801" max="1801" width="9.140625" style="2"/>
    <col min="1802" max="1802" width="17.5703125" style="2" customWidth="1"/>
    <col min="1803" max="2048" width="9.140625" style="2"/>
    <col min="2049" max="2049" width="5.5703125" style="2" customWidth="1"/>
    <col min="2050" max="2050" width="10.28515625" style="2" customWidth="1"/>
    <col min="2051" max="2051" width="17.140625" style="2" customWidth="1"/>
    <col min="2052" max="2052" width="43.28515625" style="2" customWidth="1"/>
    <col min="2053" max="2053" width="15" style="2" customWidth="1"/>
    <col min="2054" max="2054" width="18.28515625" style="2" customWidth="1"/>
    <col min="2055" max="2055" width="15.28515625" style="2" customWidth="1"/>
    <col min="2056" max="2056" width="19.85546875" style="2" customWidth="1"/>
    <col min="2057" max="2057" width="9.140625" style="2"/>
    <col min="2058" max="2058" width="17.5703125" style="2" customWidth="1"/>
    <col min="2059" max="2304" width="9.140625" style="2"/>
    <col min="2305" max="2305" width="5.5703125" style="2" customWidth="1"/>
    <col min="2306" max="2306" width="10.28515625" style="2" customWidth="1"/>
    <col min="2307" max="2307" width="17.140625" style="2" customWidth="1"/>
    <col min="2308" max="2308" width="43.28515625" style="2" customWidth="1"/>
    <col min="2309" max="2309" width="15" style="2" customWidth="1"/>
    <col min="2310" max="2310" width="18.28515625" style="2" customWidth="1"/>
    <col min="2311" max="2311" width="15.28515625" style="2" customWidth="1"/>
    <col min="2312" max="2312" width="19.85546875" style="2" customWidth="1"/>
    <col min="2313" max="2313" width="9.140625" style="2"/>
    <col min="2314" max="2314" width="17.5703125" style="2" customWidth="1"/>
    <col min="2315" max="2560" width="9.140625" style="2"/>
    <col min="2561" max="2561" width="5.5703125" style="2" customWidth="1"/>
    <col min="2562" max="2562" width="10.28515625" style="2" customWidth="1"/>
    <col min="2563" max="2563" width="17.140625" style="2" customWidth="1"/>
    <col min="2564" max="2564" width="43.28515625" style="2" customWidth="1"/>
    <col min="2565" max="2565" width="15" style="2" customWidth="1"/>
    <col min="2566" max="2566" width="18.28515625" style="2" customWidth="1"/>
    <col min="2567" max="2567" width="15.28515625" style="2" customWidth="1"/>
    <col min="2568" max="2568" width="19.85546875" style="2" customWidth="1"/>
    <col min="2569" max="2569" width="9.140625" style="2"/>
    <col min="2570" max="2570" width="17.5703125" style="2" customWidth="1"/>
    <col min="2571" max="2816" width="9.140625" style="2"/>
    <col min="2817" max="2817" width="5.5703125" style="2" customWidth="1"/>
    <col min="2818" max="2818" width="10.28515625" style="2" customWidth="1"/>
    <col min="2819" max="2819" width="17.140625" style="2" customWidth="1"/>
    <col min="2820" max="2820" width="43.28515625" style="2" customWidth="1"/>
    <col min="2821" max="2821" width="15" style="2" customWidth="1"/>
    <col min="2822" max="2822" width="18.28515625" style="2" customWidth="1"/>
    <col min="2823" max="2823" width="15.28515625" style="2" customWidth="1"/>
    <col min="2824" max="2824" width="19.85546875" style="2" customWidth="1"/>
    <col min="2825" max="2825" width="9.140625" style="2"/>
    <col min="2826" max="2826" width="17.5703125" style="2" customWidth="1"/>
    <col min="2827" max="3072" width="9.140625" style="2"/>
    <col min="3073" max="3073" width="5.5703125" style="2" customWidth="1"/>
    <col min="3074" max="3074" width="10.28515625" style="2" customWidth="1"/>
    <col min="3075" max="3075" width="17.140625" style="2" customWidth="1"/>
    <col min="3076" max="3076" width="43.28515625" style="2" customWidth="1"/>
    <col min="3077" max="3077" width="15" style="2" customWidth="1"/>
    <col min="3078" max="3078" width="18.28515625" style="2" customWidth="1"/>
    <col min="3079" max="3079" width="15.28515625" style="2" customWidth="1"/>
    <col min="3080" max="3080" width="19.85546875" style="2" customWidth="1"/>
    <col min="3081" max="3081" width="9.140625" style="2"/>
    <col min="3082" max="3082" width="17.5703125" style="2" customWidth="1"/>
    <col min="3083" max="3328" width="9.140625" style="2"/>
    <col min="3329" max="3329" width="5.5703125" style="2" customWidth="1"/>
    <col min="3330" max="3330" width="10.28515625" style="2" customWidth="1"/>
    <col min="3331" max="3331" width="17.140625" style="2" customWidth="1"/>
    <col min="3332" max="3332" width="43.28515625" style="2" customWidth="1"/>
    <col min="3333" max="3333" width="15" style="2" customWidth="1"/>
    <col min="3334" max="3334" width="18.28515625" style="2" customWidth="1"/>
    <col min="3335" max="3335" width="15.28515625" style="2" customWidth="1"/>
    <col min="3336" max="3336" width="19.85546875" style="2" customWidth="1"/>
    <col min="3337" max="3337" width="9.140625" style="2"/>
    <col min="3338" max="3338" width="17.5703125" style="2" customWidth="1"/>
    <col min="3339" max="3584" width="9.140625" style="2"/>
    <col min="3585" max="3585" width="5.5703125" style="2" customWidth="1"/>
    <col min="3586" max="3586" width="10.28515625" style="2" customWidth="1"/>
    <col min="3587" max="3587" width="17.140625" style="2" customWidth="1"/>
    <col min="3588" max="3588" width="43.28515625" style="2" customWidth="1"/>
    <col min="3589" max="3589" width="15" style="2" customWidth="1"/>
    <col min="3590" max="3590" width="18.28515625" style="2" customWidth="1"/>
    <col min="3591" max="3591" width="15.28515625" style="2" customWidth="1"/>
    <col min="3592" max="3592" width="19.85546875" style="2" customWidth="1"/>
    <col min="3593" max="3593" width="9.140625" style="2"/>
    <col min="3594" max="3594" width="17.5703125" style="2" customWidth="1"/>
    <col min="3595" max="3840" width="9.140625" style="2"/>
    <col min="3841" max="3841" width="5.5703125" style="2" customWidth="1"/>
    <col min="3842" max="3842" width="10.28515625" style="2" customWidth="1"/>
    <col min="3843" max="3843" width="17.140625" style="2" customWidth="1"/>
    <col min="3844" max="3844" width="43.28515625" style="2" customWidth="1"/>
    <col min="3845" max="3845" width="15" style="2" customWidth="1"/>
    <col min="3846" max="3846" width="18.28515625" style="2" customWidth="1"/>
    <col min="3847" max="3847" width="15.28515625" style="2" customWidth="1"/>
    <col min="3848" max="3848" width="19.85546875" style="2" customWidth="1"/>
    <col min="3849" max="3849" width="9.140625" style="2"/>
    <col min="3850" max="3850" width="17.5703125" style="2" customWidth="1"/>
    <col min="3851" max="4096" width="9.140625" style="2"/>
    <col min="4097" max="4097" width="5.5703125" style="2" customWidth="1"/>
    <col min="4098" max="4098" width="10.28515625" style="2" customWidth="1"/>
    <col min="4099" max="4099" width="17.140625" style="2" customWidth="1"/>
    <col min="4100" max="4100" width="43.28515625" style="2" customWidth="1"/>
    <col min="4101" max="4101" width="15" style="2" customWidth="1"/>
    <col min="4102" max="4102" width="18.28515625" style="2" customWidth="1"/>
    <col min="4103" max="4103" width="15.28515625" style="2" customWidth="1"/>
    <col min="4104" max="4104" width="19.85546875" style="2" customWidth="1"/>
    <col min="4105" max="4105" width="9.140625" style="2"/>
    <col min="4106" max="4106" width="17.5703125" style="2" customWidth="1"/>
    <col min="4107" max="4352" width="9.140625" style="2"/>
    <col min="4353" max="4353" width="5.5703125" style="2" customWidth="1"/>
    <col min="4354" max="4354" width="10.28515625" style="2" customWidth="1"/>
    <col min="4355" max="4355" width="17.140625" style="2" customWidth="1"/>
    <col min="4356" max="4356" width="43.28515625" style="2" customWidth="1"/>
    <col min="4357" max="4357" width="15" style="2" customWidth="1"/>
    <col min="4358" max="4358" width="18.28515625" style="2" customWidth="1"/>
    <col min="4359" max="4359" width="15.28515625" style="2" customWidth="1"/>
    <col min="4360" max="4360" width="19.85546875" style="2" customWidth="1"/>
    <col min="4361" max="4361" width="9.140625" style="2"/>
    <col min="4362" max="4362" width="17.5703125" style="2" customWidth="1"/>
    <col min="4363" max="4608" width="9.140625" style="2"/>
    <col min="4609" max="4609" width="5.5703125" style="2" customWidth="1"/>
    <col min="4610" max="4610" width="10.28515625" style="2" customWidth="1"/>
    <col min="4611" max="4611" width="17.140625" style="2" customWidth="1"/>
    <col min="4612" max="4612" width="43.28515625" style="2" customWidth="1"/>
    <col min="4613" max="4613" width="15" style="2" customWidth="1"/>
    <col min="4614" max="4614" width="18.28515625" style="2" customWidth="1"/>
    <col min="4615" max="4615" width="15.28515625" style="2" customWidth="1"/>
    <col min="4616" max="4616" width="19.85546875" style="2" customWidth="1"/>
    <col min="4617" max="4617" width="9.140625" style="2"/>
    <col min="4618" max="4618" width="17.5703125" style="2" customWidth="1"/>
    <col min="4619" max="4864" width="9.140625" style="2"/>
    <col min="4865" max="4865" width="5.5703125" style="2" customWidth="1"/>
    <col min="4866" max="4866" width="10.28515625" style="2" customWidth="1"/>
    <col min="4867" max="4867" width="17.140625" style="2" customWidth="1"/>
    <col min="4868" max="4868" width="43.28515625" style="2" customWidth="1"/>
    <col min="4869" max="4869" width="15" style="2" customWidth="1"/>
    <col min="4870" max="4870" width="18.28515625" style="2" customWidth="1"/>
    <col min="4871" max="4871" width="15.28515625" style="2" customWidth="1"/>
    <col min="4872" max="4872" width="19.85546875" style="2" customWidth="1"/>
    <col min="4873" max="4873" width="9.140625" style="2"/>
    <col min="4874" max="4874" width="17.5703125" style="2" customWidth="1"/>
    <col min="4875" max="5120" width="9.140625" style="2"/>
    <col min="5121" max="5121" width="5.5703125" style="2" customWidth="1"/>
    <col min="5122" max="5122" width="10.28515625" style="2" customWidth="1"/>
    <col min="5123" max="5123" width="17.140625" style="2" customWidth="1"/>
    <col min="5124" max="5124" width="43.28515625" style="2" customWidth="1"/>
    <col min="5125" max="5125" width="15" style="2" customWidth="1"/>
    <col min="5126" max="5126" width="18.28515625" style="2" customWidth="1"/>
    <col min="5127" max="5127" width="15.28515625" style="2" customWidth="1"/>
    <col min="5128" max="5128" width="19.85546875" style="2" customWidth="1"/>
    <col min="5129" max="5129" width="9.140625" style="2"/>
    <col min="5130" max="5130" width="17.5703125" style="2" customWidth="1"/>
    <col min="5131" max="5376" width="9.140625" style="2"/>
    <col min="5377" max="5377" width="5.5703125" style="2" customWidth="1"/>
    <col min="5378" max="5378" width="10.28515625" style="2" customWidth="1"/>
    <col min="5379" max="5379" width="17.140625" style="2" customWidth="1"/>
    <col min="5380" max="5380" width="43.28515625" style="2" customWidth="1"/>
    <col min="5381" max="5381" width="15" style="2" customWidth="1"/>
    <col min="5382" max="5382" width="18.28515625" style="2" customWidth="1"/>
    <col min="5383" max="5383" width="15.28515625" style="2" customWidth="1"/>
    <col min="5384" max="5384" width="19.85546875" style="2" customWidth="1"/>
    <col min="5385" max="5385" width="9.140625" style="2"/>
    <col min="5386" max="5386" width="17.5703125" style="2" customWidth="1"/>
    <col min="5387" max="5632" width="9.140625" style="2"/>
    <col min="5633" max="5633" width="5.5703125" style="2" customWidth="1"/>
    <col min="5634" max="5634" width="10.28515625" style="2" customWidth="1"/>
    <col min="5635" max="5635" width="17.140625" style="2" customWidth="1"/>
    <col min="5636" max="5636" width="43.28515625" style="2" customWidth="1"/>
    <col min="5637" max="5637" width="15" style="2" customWidth="1"/>
    <col min="5638" max="5638" width="18.28515625" style="2" customWidth="1"/>
    <col min="5639" max="5639" width="15.28515625" style="2" customWidth="1"/>
    <col min="5640" max="5640" width="19.85546875" style="2" customWidth="1"/>
    <col min="5641" max="5641" width="9.140625" style="2"/>
    <col min="5642" max="5642" width="17.5703125" style="2" customWidth="1"/>
    <col min="5643" max="5888" width="9.140625" style="2"/>
    <col min="5889" max="5889" width="5.5703125" style="2" customWidth="1"/>
    <col min="5890" max="5890" width="10.28515625" style="2" customWidth="1"/>
    <col min="5891" max="5891" width="17.140625" style="2" customWidth="1"/>
    <col min="5892" max="5892" width="43.28515625" style="2" customWidth="1"/>
    <col min="5893" max="5893" width="15" style="2" customWidth="1"/>
    <col min="5894" max="5894" width="18.28515625" style="2" customWidth="1"/>
    <col min="5895" max="5895" width="15.28515625" style="2" customWidth="1"/>
    <col min="5896" max="5896" width="19.85546875" style="2" customWidth="1"/>
    <col min="5897" max="5897" width="9.140625" style="2"/>
    <col min="5898" max="5898" width="17.5703125" style="2" customWidth="1"/>
    <col min="5899" max="6144" width="9.140625" style="2"/>
    <col min="6145" max="6145" width="5.5703125" style="2" customWidth="1"/>
    <col min="6146" max="6146" width="10.28515625" style="2" customWidth="1"/>
    <col min="6147" max="6147" width="17.140625" style="2" customWidth="1"/>
    <col min="6148" max="6148" width="43.28515625" style="2" customWidth="1"/>
    <col min="6149" max="6149" width="15" style="2" customWidth="1"/>
    <col min="6150" max="6150" width="18.28515625" style="2" customWidth="1"/>
    <col min="6151" max="6151" width="15.28515625" style="2" customWidth="1"/>
    <col min="6152" max="6152" width="19.85546875" style="2" customWidth="1"/>
    <col min="6153" max="6153" width="9.140625" style="2"/>
    <col min="6154" max="6154" width="17.5703125" style="2" customWidth="1"/>
    <col min="6155" max="6400" width="9.140625" style="2"/>
    <col min="6401" max="6401" width="5.5703125" style="2" customWidth="1"/>
    <col min="6402" max="6402" width="10.28515625" style="2" customWidth="1"/>
    <col min="6403" max="6403" width="17.140625" style="2" customWidth="1"/>
    <col min="6404" max="6404" width="43.28515625" style="2" customWidth="1"/>
    <col min="6405" max="6405" width="15" style="2" customWidth="1"/>
    <col min="6406" max="6406" width="18.28515625" style="2" customWidth="1"/>
    <col min="6407" max="6407" width="15.28515625" style="2" customWidth="1"/>
    <col min="6408" max="6408" width="19.85546875" style="2" customWidth="1"/>
    <col min="6409" max="6409" width="9.140625" style="2"/>
    <col min="6410" max="6410" width="17.5703125" style="2" customWidth="1"/>
    <col min="6411" max="6656" width="9.140625" style="2"/>
    <col min="6657" max="6657" width="5.5703125" style="2" customWidth="1"/>
    <col min="6658" max="6658" width="10.28515625" style="2" customWidth="1"/>
    <col min="6659" max="6659" width="17.140625" style="2" customWidth="1"/>
    <col min="6660" max="6660" width="43.28515625" style="2" customWidth="1"/>
    <col min="6661" max="6661" width="15" style="2" customWidth="1"/>
    <col min="6662" max="6662" width="18.28515625" style="2" customWidth="1"/>
    <col min="6663" max="6663" width="15.28515625" style="2" customWidth="1"/>
    <col min="6664" max="6664" width="19.85546875" style="2" customWidth="1"/>
    <col min="6665" max="6665" width="9.140625" style="2"/>
    <col min="6666" max="6666" width="17.5703125" style="2" customWidth="1"/>
    <col min="6667" max="6912" width="9.140625" style="2"/>
    <col min="6913" max="6913" width="5.5703125" style="2" customWidth="1"/>
    <col min="6914" max="6914" width="10.28515625" style="2" customWidth="1"/>
    <col min="6915" max="6915" width="17.140625" style="2" customWidth="1"/>
    <col min="6916" max="6916" width="43.28515625" style="2" customWidth="1"/>
    <col min="6917" max="6917" width="15" style="2" customWidth="1"/>
    <col min="6918" max="6918" width="18.28515625" style="2" customWidth="1"/>
    <col min="6919" max="6919" width="15.28515625" style="2" customWidth="1"/>
    <col min="6920" max="6920" width="19.85546875" style="2" customWidth="1"/>
    <col min="6921" max="6921" width="9.140625" style="2"/>
    <col min="6922" max="6922" width="17.5703125" style="2" customWidth="1"/>
    <col min="6923" max="7168" width="9.140625" style="2"/>
    <col min="7169" max="7169" width="5.5703125" style="2" customWidth="1"/>
    <col min="7170" max="7170" width="10.28515625" style="2" customWidth="1"/>
    <col min="7171" max="7171" width="17.140625" style="2" customWidth="1"/>
    <col min="7172" max="7172" width="43.28515625" style="2" customWidth="1"/>
    <col min="7173" max="7173" width="15" style="2" customWidth="1"/>
    <col min="7174" max="7174" width="18.28515625" style="2" customWidth="1"/>
    <col min="7175" max="7175" width="15.28515625" style="2" customWidth="1"/>
    <col min="7176" max="7176" width="19.85546875" style="2" customWidth="1"/>
    <col min="7177" max="7177" width="9.140625" style="2"/>
    <col min="7178" max="7178" width="17.5703125" style="2" customWidth="1"/>
    <col min="7179" max="7424" width="9.140625" style="2"/>
    <col min="7425" max="7425" width="5.5703125" style="2" customWidth="1"/>
    <col min="7426" max="7426" width="10.28515625" style="2" customWidth="1"/>
    <col min="7427" max="7427" width="17.140625" style="2" customWidth="1"/>
    <col min="7428" max="7428" width="43.28515625" style="2" customWidth="1"/>
    <col min="7429" max="7429" width="15" style="2" customWidth="1"/>
    <col min="7430" max="7430" width="18.28515625" style="2" customWidth="1"/>
    <col min="7431" max="7431" width="15.28515625" style="2" customWidth="1"/>
    <col min="7432" max="7432" width="19.85546875" style="2" customWidth="1"/>
    <col min="7433" max="7433" width="9.140625" style="2"/>
    <col min="7434" max="7434" width="17.5703125" style="2" customWidth="1"/>
    <col min="7435" max="7680" width="9.140625" style="2"/>
    <col min="7681" max="7681" width="5.5703125" style="2" customWidth="1"/>
    <col min="7682" max="7682" width="10.28515625" style="2" customWidth="1"/>
    <col min="7683" max="7683" width="17.140625" style="2" customWidth="1"/>
    <col min="7684" max="7684" width="43.28515625" style="2" customWidth="1"/>
    <col min="7685" max="7685" width="15" style="2" customWidth="1"/>
    <col min="7686" max="7686" width="18.28515625" style="2" customWidth="1"/>
    <col min="7687" max="7687" width="15.28515625" style="2" customWidth="1"/>
    <col min="7688" max="7688" width="19.85546875" style="2" customWidth="1"/>
    <col min="7689" max="7689" width="9.140625" style="2"/>
    <col min="7690" max="7690" width="17.5703125" style="2" customWidth="1"/>
    <col min="7691" max="7936" width="9.140625" style="2"/>
    <col min="7937" max="7937" width="5.5703125" style="2" customWidth="1"/>
    <col min="7938" max="7938" width="10.28515625" style="2" customWidth="1"/>
    <col min="7939" max="7939" width="17.140625" style="2" customWidth="1"/>
    <col min="7940" max="7940" width="43.28515625" style="2" customWidth="1"/>
    <col min="7941" max="7941" width="15" style="2" customWidth="1"/>
    <col min="7942" max="7942" width="18.28515625" style="2" customWidth="1"/>
    <col min="7943" max="7943" width="15.28515625" style="2" customWidth="1"/>
    <col min="7944" max="7944" width="19.85546875" style="2" customWidth="1"/>
    <col min="7945" max="7945" width="9.140625" style="2"/>
    <col min="7946" max="7946" width="17.5703125" style="2" customWidth="1"/>
    <col min="7947" max="8192" width="9.140625" style="2"/>
    <col min="8193" max="8193" width="5.5703125" style="2" customWidth="1"/>
    <col min="8194" max="8194" width="10.28515625" style="2" customWidth="1"/>
    <col min="8195" max="8195" width="17.140625" style="2" customWidth="1"/>
    <col min="8196" max="8196" width="43.28515625" style="2" customWidth="1"/>
    <col min="8197" max="8197" width="15" style="2" customWidth="1"/>
    <col min="8198" max="8198" width="18.28515625" style="2" customWidth="1"/>
    <col min="8199" max="8199" width="15.28515625" style="2" customWidth="1"/>
    <col min="8200" max="8200" width="19.85546875" style="2" customWidth="1"/>
    <col min="8201" max="8201" width="9.140625" style="2"/>
    <col min="8202" max="8202" width="17.5703125" style="2" customWidth="1"/>
    <col min="8203" max="8448" width="9.140625" style="2"/>
    <col min="8449" max="8449" width="5.5703125" style="2" customWidth="1"/>
    <col min="8450" max="8450" width="10.28515625" style="2" customWidth="1"/>
    <col min="8451" max="8451" width="17.140625" style="2" customWidth="1"/>
    <col min="8452" max="8452" width="43.28515625" style="2" customWidth="1"/>
    <col min="8453" max="8453" width="15" style="2" customWidth="1"/>
    <col min="8454" max="8454" width="18.28515625" style="2" customWidth="1"/>
    <col min="8455" max="8455" width="15.28515625" style="2" customWidth="1"/>
    <col min="8456" max="8456" width="19.85546875" style="2" customWidth="1"/>
    <col min="8457" max="8457" width="9.140625" style="2"/>
    <col min="8458" max="8458" width="17.5703125" style="2" customWidth="1"/>
    <col min="8459" max="8704" width="9.140625" style="2"/>
    <col min="8705" max="8705" width="5.5703125" style="2" customWidth="1"/>
    <col min="8706" max="8706" width="10.28515625" style="2" customWidth="1"/>
    <col min="8707" max="8707" width="17.140625" style="2" customWidth="1"/>
    <col min="8708" max="8708" width="43.28515625" style="2" customWidth="1"/>
    <col min="8709" max="8709" width="15" style="2" customWidth="1"/>
    <col min="8710" max="8710" width="18.28515625" style="2" customWidth="1"/>
    <col min="8711" max="8711" width="15.28515625" style="2" customWidth="1"/>
    <col min="8712" max="8712" width="19.85546875" style="2" customWidth="1"/>
    <col min="8713" max="8713" width="9.140625" style="2"/>
    <col min="8714" max="8714" width="17.5703125" style="2" customWidth="1"/>
    <col min="8715" max="8960" width="9.140625" style="2"/>
    <col min="8961" max="8961" width="5.5703125" style="2" customWidth="1"/>
    <col min="8962" max="8962" width="10.28515625" style="2" customWidth="1"/>
    <col min="8963" max="8963" width="17.140625" style="2" customWidth="1"/>
    <col min="8964" max="8964" width="43.28515625" style="2" customWidth="1"/>
    <col min="8965" max="8965" width="15" style="2" customWidth="1"/>
    <col min="8966" max="8966" width="18.28515625" style="2" customWidth="1"/>
    <col min="8967" max="8967" width="15.28515625" style="2" customWidth="1"/>
    <col min="8968" max="8968" width="19.85546875" style="2" customWidth="1"/>
    <col min="8969" max="8969" width="9.140625" style="2"/>
    <col min="8970" max="8970" width="17.5703125" style="2" customWidth="1"/>
    <col min="8971" max="9216" width="9.140625" style="2"/>
    <col min="9217" max="9217" width="5.5703125" style="2" customWidth="1"/>
    <col min="9218" max="9218" width="10.28515625" style="2" customWidth="1"/>
    <col min="9219" max="9219" width="17.140625" style="2" customWidth="1"/>
    <col min="9220" max="9220" width="43.28515625" style="2" customWidth="1"/>
    <col min="9221" max="9221" width="15" style="2" customWidth="1"/>
    <col min="9222" max="9222" width="18.28515625" style="2" customWidth="1"/>
    <col min="9223" max="9223" width="15.28515625" style="2" customWidth="1"/>
    <col min="9224" max="9224" width="19.85546875" style="2" customWidth="1"/>
    <col min="9225" max="9225" width="9.140625" style="2"/>
    <col min="9226" max="9226" width="17.5703125" style="2" customWidth="1"/>
    <col min="9227" max="9472" width="9.140625" style="2"/>
    <col min="9473" max="9473" width="5.5703125" style="2" customWidth="1"/>
    <col min="9474" max="9474" width="10.28515625" style="2" customWidth="1"/>
    <col min="9475" max="9475" width="17.140625" style="2" customWidth="1"/>
    <col min="9476" max="9476" width="43.28515625" style="2" customWidth="1"/>
    <col min="9477" max="9477" width="15" style="2" customWidth="1"/>
    <col min="9478" max="9478" width="18.28515625" style="2" customWidth="1"/>
    <col min="9479" max="9479" width="15.28515625" style="2" customWidth="1"/>
    <col min="9480" max="9480" width="19.85546875" style="2" customWidth="1"/>
    <col min="9481" max="9481" width="9.140625" style="2"/>
    <col min="9482" max="9482" width="17.5703125" style="2" customWidth="1"/>
    <col min="9483" max="9728" width="9.140625" style="2"/>
    <col min="9729" max="9729" width="5.5703125" style="2" customWidth="1"/>
    <col min="9730" max="9730" width="10.28515625" style="2" customWidth="1"/>
    <col min="9731" max="9731" width="17.140625" style="2" customWidth="1"/>
    <col min="9732" max="9732" width="43.28515625" style="2" customWidth="1"/>
    <col min="9733" max="9733" width="15" style="2" customWidth="1"/>
    <col min="9734" max="9734" width="18.28515625" style="2" customWidth="1"/>
    <col min="9735" max="9735" width="15.28515625" style="2" customWidth="1"/>
    <col min="9736" max="9736" width="19.85546875" style="2" customWidth="1"/>
    <col min="9737" max="9737" width="9.140625" style="2"/>
    <col min="9738" max="9738" width="17.5703125" style="2" customWidth="1"/>
    <col min="9739" max="9984" width="9.140625" style="2"/>
    <col min="9985" max="9985" width="5.5703125" style="2" customWidth="1"/>
    <col min="9986" max="9986" width="10.28515625" style="2" customWidth="1"/>
    <col min="9987" max="9987" width="17.140625" style="2" customWidth="1"/>
    <col min="9988" max="9988" width="43.28515625" style="2" customWidth="1"/>
    <col min="9989" max="9989" width="15" style="2" customWidth="1"/>
    <col min="9990" max="9990" width="18.28515625" style="2" customWidth="1"/>
    <col min="9991" max="9991" width="15.28515625" style="2" customWidth="1"/>
    <col min="9992" max="9992" width="19.85546875" style="2" customWidth="1"/>
    <col min="9993" max="9993" width="9.140625" style="2"/>
    <col min="9994" max="9994" width="17.5703125" style="2" customWidth="1"/>
    <col min="9995" max="10240" width="9.140625" style="2"/>
    <col min="10241" max="10241" width="5.5703125" style="2" customWidth="1"/>
    <col min="10242" max="10242" width="10.28515625" style="2" customWidth="1"/>
    <col min="10243" max="10243" width="17.140625" style="2" customWidth="1"/>
    <col min="10244" max="10244" width="43.28515625" style="2" customWidth="1"/>
    <col min="10245" max="10245" width="15" style="2" customWidth="1"/>
    <col min="10246" max="10246" width="18.28515625" style="2" customWidth="1"/>
    <col min="10247" max="10247" width="15.28515625" style="2" customWidth="1"/>
    <col min="10248" max="10248" width="19.85546875" style="2" customWidth="1"/>
    <col min="10249" max="10249" width="9.140625" style="2"/>
    <col min="10250" max="10250" width="17.5703125" style="2" customWidth="1"/>
    <col min="10251" max="10496" width="9.140625" style="2"/>
    <col min="10497" max="10497" width="5.5703125" style="2" customWidth="1"/>
    <col min="10498" max="10498" width="10.28515625" style="2" customWidth="1"/>
    <col min="10499" max="10499" width="17.140625" style="2" customWidth="1"/>
    <col min="10500" max="10500" width="43.28515625" style="2" customWidth="1"/>
    <col min="10501" max="10501" width="15" style="2" customWidth="1"/>
    <col min="10502" max="10502" width="18.28515625" style="2" customWidth="1"/>
    <col min="10503" max="10503" width="15.28515625" style="2" customWidth="1"/>
    <col min="10504" max="10504" width="19.85546875" style="2" customWidth="1"/>
    <col min="10505" max="10505" width="9.140625" style="2"/>
    <col min="10506" max="10506" width="17.5703125" style="2" customWidth="1"/>
    <col min="10507" max="10752" width="9.140625" style="2"/>
    <col min="10753" max="10753" width="5.5703125" style="2" customWidth="1"/>
    <col min="10754" max="10754" width="10.28515625" style="2" customWidth="1"/>
    <col min="10755" max="10755" width="17.140625" style="2" customWidth="1"/>
    <col min="10756" max="10756" width="43.28515625" style="2" customWidth="1"/>
    <col min="10757" max="10757" width="15" style="2" customWidth="1"/>
    <col min="10758" max="10758" width="18.28515625" style="2" customWidth="1"/>
    <col min="10759" max="10759" width="15.28515625" style="2" customWidth="1"/>
    <col min="10760" max="10760" width="19.85546875" style="2" customWidth="1"/>
    <col min="10761" max="10761" width="9.140625" style="2"/>
    <col min="10762" max="10762" width="17.5703125" style="2" customWidth="1"/>
    <col min="10763" max="11008" width="9.140625" style="2"/>
    <col min="11009" max="11009" width="5.5703125" style="2" customWidth="1"/>
    <col min="11010" max="11010" width="10.28515625" style="2" customWidth="1"/>
    <col min="11011" max="11011" width="17.140625" style="2" customWidth="1"/>
    <col min="11012" max="11012" width="43.28515625" style="2" customWidth="1"/>
    <col min="11013" max="11013" width="15" style="2" customWidth="1"/>
    <col min="11014" max="11014" width="18.28515625" style="2" customWidth="1"/>
    <col min="11015" max="11015" width="15.28515625" style="2" customWidth="1"/>
    <col min="11016" max="11016" width="19.85546875" style="2" customWidth="1"/>
    <col min="11017" max="11017" width="9.140625" style="2"/>
    <col min="11018" max="11018" width="17.5703125" style="2" customWidth="1"/>
    <col min="11019" max="11264" width="9.140625" style="2"/>
    <col min="11265" max="11265" width="5.5703125" style="2" customWidth="1"/>
    <col min="11266" max="11266" width="10.28515625" style="2" customWidth="1"/>
    <col min="11267" max="11267" width="17.140625" style="2" customWidth="1"/>
    <col min="11268" max="11268" width="43.28515625" style="2" customWidth="1"/>
    <col min="11269" max="11269" width="15" style="2" customWidth="1"/>
    <col min="11270" max="11270" width="18.28515625" style="2" customWidth="1"/>
    <col min="11271" max="11271" width="15.28515625" style="2" customWidth="1"/>
    <col min="11272" max="11272" width="19.85546875" style="2" customWidth="1"/>
    <col min="11273" max="11273" width="9.140625" style="2"/>
    <col min="11274" max="11274" width="17.5703125" style="2" customWidth="1"/>
    <col min="11275" max="11520" width="9.140625" style="2"/>
    <col min="11521" max="11521" width="5.5703125" style="2" customWidth="1"/>
    <col min="11522" max="11522" width="10.28515625" style="2" customWidth="1"/>
    <col min="11523" max="11523" width="17.140625" style="2" customWidth="1"/>
    <col min="11524" max="11524" width="43.28515625" style="2" customWidth="1"/>
    <col min="11525" max="11525" width="15" style="2" customWidth="1"/>
    <col min="11526" max="11526" width="18.28515625" style="2" customWidth="1"/>
    <col min="11527" max="11527" width="15.28515625" style="2" customWidth="1"/>
    <col min="11528" max="11528" width="19.85546875" style="2" customWidth="1"/>
    <col min="11529" max="11529" width="9.140625" style="2"/>
    <col min="11530" max="11530" width="17.5703125" style="2" customWidth="1"/>
    <col min="11531" max="11776" width="9.140625" style="2"/>
    <col min="11777" max="11777" width="5.5703125" style="2" customWidth="1"/>
    <col min="11778" max="11778" width="10.28515625" style="2" customWidth="1"/>
    <col min="11779" max="11779" width="17.140625" style="2" customWidth="1"/>
    <col min="11780" max="11780" width="43.28515625" style="2" customWidth="1"/>
    <col min="11781" max="11781" width="15" style="2" customWidth="1"/>
    <col min="11782" max="11782" width="18.28515625" style="2" customWidth="1"/>
    <col min="11783" max="11783" width="15.28515625" style="2" customWidth="1"/>
    <col min="11784" max="11784" width="19.85546875" style="2" customWidth="1"/>
    <col min="11785" max="11785" width="9.140625" style="2"/>
    <col min="11786" max="11786" width="17.5703125" style="2" customWidth="1"/>
    <col min="11787" max="12032" width="9.140625" style="2"/>
    <col min="12033" max="12033" width="5.5703125" style="2" customWidth="1"/>
    <col min="12034" max="12034" width="10.28515625" style="2" customWidth="1"/>
    <col min="12035" max="12035" width="17.140625" style="2" customWidth="1"/>
    <col min="12036" max="12036" width="43.28515625" style="2" customWidth="1"/>
    <col min="12037" max="12037" width="15" style="2" customWidth="1"/>
    <col min="12038" max="12038" width="18.28515625" style="2" customWidth="1"/>
    <col min="12039" max="12039" width="15.28515625" style="2" customWidth="1"/>
    <col min="12040" max="12040" width="19.85546875" style="2" customWidth="1"/>
    <col min="12041" max="12041" width="9.140625" style="2"/>
    <col min="12042" max="12042" width="17.5703125" style="2" customWidth="1"/>
    <col min="12043" max="12288" width="9.140625" style="2"/>
    <col min="12289" max="12289" width="5.5703125" style="2" customWidth="1"/>
    <col min="12290" max="12290" width="10.28515625" style="2" customWidth="1"/>
    <col min="12291" max="12291" width="17.140625" style="2" customWidth="1"/>
    <col min="12292" max="12292" width="43.28515625" style="2" customWidth="1"/>
    <col min="12293" max="12293" width="15" style="2" customWidth="1"/>
    <col min="12294" max="12294" width="18.28515625" style="2" customWidth="1"/>
    <col min="12295" max="12295" width="15.28515625" style="2" customWidth="1"/>
    <col min="12296" max="12296" width="19.85546875" style="2" customWidth="1"/>
    <col min="12297" max="12297" width="9.140625" style="2"/>
    <col min="12298" max="12298" width="17.5703125" style="2" customWidth="1"/>
    <col min="12299" max="12544" width="9.140625" style="2"/>
    <col min="12545" max="12545" width="5.5703125" style="2" customWidth="1"/>
    <col min="12546" max="12546" width="10.28515625" style="2" customWidth="1"/>
    <col min="12547" max="12547" width="17.140625" style="2" customWidth="1"/>
    <col min="12548" max="12548" width="43.28515625" style="2" customWidth="1"/>
    <col min="12549" max="12549" width="15" style="2" customWidth="1"/>
    <col min="12550" max="12550" width="18.28515625" style="2" customWidth="1"/>
    <col min="12551" max="12551" width="15.28515625" style="2" customWidth="1"/>
    <col min="12552" max="12552" width="19.85546875" style="2" customWidth="1"/>
    <col min="12553" max="12553" width="9.140625" style="2"/>
    <col min="12554" max="12554" width="17.5703125" style="2" customWidth="1"/>
    <col min="12555" max="12800" width="9.140625" style="2"/>
    <col min="12801" max="12801" width="5.5703125" style="2" customWidth="1"/>
    <col min="12802" max="12802" width="10.28515625" style="2" customWidth="1"/>
    <col min="12803" max="12803" width="17.140625" style="2" customWidth="1"/>
    <col min="12804" max="12804" width="43.28515625" style="2" customWidth="1"/>
    <col min="12805" max="12805" width="15" style="2" customWidth="1"/>
    <col min="12806" max="12806" width="18.28515625" style="2" customWidth="1"/>
    <col min="12807" max="12807" width="15.28515625" style="2" customWidth="1"/>
    <col min="12808" max="12808" width="19.85546875" style="2" customWidth="1"/>
    <col min="12809" max="12809" width="9.140625" style="2"/>
    <col min="12810" max="12810" width="17.5703125" style="2" customWidth="1"/>
    <col min="12811" max="13056" width="9.140625" style="2"/>
    <col min="13057" max="13057" width="5.5703125" style="2" customWidth="1"/>
    <col min="13058" max="13058" width="10.28515625" style="2" customWidth="1"/>
    <col min="13059" max="13059" width="17.140625" style="2" customWidth="1"/>
    <col min="13060" max="13060" width="43.28515625" style="2" customWidth="1"/>
    <col min="13061" max="13061" width="15" style="2" customWidth="1"/>
    <col min="13062" max="13062" width="18.28515625" style="2" customWidth="1"/>
    <col min="13063" max="13063" width="15.28515625" style="2" customWidth="1"/>
    <col min="13064" max="13064" width="19.85546875" style="2" customWidth="1"/>
    <col min="13065" max="13065" width="9.140625" style="2"/>
    <col min="13066" max="13066" width="17.5703125" style="2" customWidth="1"/>
    <col min="13067" max="13312" width="9.140625" style="2"/>
    <col min="13313" max="13313" width="5.5703125" style="2" customWidth="1"/>
    <col min="13314" max="13314" width="10.28515625" style="2" customWidth="1"/>
    <col min="13315" max="13315" width="17.140625" style="2" customWidth="1"/>
    <col min="13316" max="13316" width="43.28515625" style="2" customWidth="1"/>
    <col min="13317" max="13317" width="15" style="2" customWidth="1"/>
    <col min="13318" max="13318" width="18.28515625" style="2" customWidth="1"/>
    <col min="13319" max="13319" width="15.28515625" style="2" customWidth="1"/>
    <col min="13320" max="13320" width="19.85546875" style="2" customWidth="1"/>
    <col min="13321" max="13321" width="9.140625" style="2"/>
    <col min="13322" max="13322" width="17.5703125" style="2" customWidth="1"/>
    <col min="13323" max="13568" width="9.140625" style="2"/>
    <col min="13569" max="13569" width="5.5703125" style="2" customWidth="1"/>
    <col min="13570" max="13570" width="10.28515625" style="2" customWidth="1"/>
    <col min="13571" max="13571" width="17.140625" style="2" customWidth="1"/>
    <col min="13572" max="13572" width="43.28515625" style="2" customWidth="1"/>
    <col min="13573" max="13573" width="15" style="2" customWidth="1"/>
    <col min="13574" max="13574" width="18.28515625" style="2" customWidth="1"/>
    <col min="13575" max="13575" width="15.28515625" style="2" customWidth="1"/>
    <col min="13576" max="13576" width="19.85546875" style="2" customWidth="1"/>
    <col min="13577" max="13577" width="9.140625" style="2"/>
    <col min="13578" max="13578" width="17.5703125" style="2" customWidth="1"/>
    <col min="13579" max="13824" width="9.140625" style="2"/>
    <col min="13825" max="13825" width="5.5703125" style="2" customWidth="1"/>
    <col min="13826" max="13826" width="10.28515625" style="2" customWidth="1"/>
    <col min="13827" max="13827" width="17.140625" style="2" customWidth="1"/>
    <col min="13828" max="13828" width="43.28515625" style="2" customWidth="1"/>
    <col min="13829" max="13829" width="15" style="2" customWidth="1"/>
    <col min="13830" max="13830" width="18.28515625" style="2" customWidth="1"/>
    <col min="13831" max="13831" width="15.28515625" style="2" customWidth="1"/>
    <col min="13832" max="13832" width="19.85546875" style="2" customWidth="1"/>
    <col min="13833" max="13833" width="9.140625" style="2"/>
    <col min="13834" max="13834" width="17.5703125" style="2" customWidth="1"/>
    <col min="13835" max="14080" width="9.140625" style="2"/>
    <col min="14081" max="14081" width="5.5703125" style="2" customWidth="1"/>
    <col min="14082" max="14082" width="10.28515625" style="2" customWidth="1"/>
    <col min="14083" max="14083" width="17.140625" style="2" customWidth="1"/>
    <col min="14084" max="14084" width="43.28515625" style="2" customWidth="1"/>
    <col min="14085" max="14085" width="15" style="2" customWidth="1"/>
    <col min="14086" max="14086" width="18.28515625" style="2" customWidth="1"/>
    <col min="14087" max="14087" width="15.28515625" style="2" customWidth="1"/>
    <col min="14088" max="14088" width="19.85546875" style="2" customWidth="1"/>
    <col min="14089" max="14089" width="9.140625" style="2"/>
    <col min="14090" max="14090" width="17.5703125" style="2" customWidth="1"/>
    <col min="14091" max="14336" width="9.140625" style="2"/>
    <col min="14337" max="14337" width="5.5703125" style="2" customWidth="1"/>
    <col min="14338" max="14338" width="10.28515625" style="2" customWidth="1"/>
    <col min="14339" max="14339" width="17.140625" style="2" customWidth="1"/>
    <col min="14340" max="14340" width="43.28515625" style="2" customWidth="1"/>
    <col min="14341" max="14341" width="15" style="2" customWidth="1"/>
    <col min="14342" max="14342" width="18.28515625" style="2" customWidth="1"/>
    <col min="14343" max="14343" width="15.28515625" style="2" customWidth="1"/>
    <col min="14344" max="14344" width="19.85546875" style="2" customWidth="1"/>
    <col min="14345" max="14345" width="9.140625" style="2"/>
    <col min="14346" max="14346" width="17.5703125" style="2" customWidth="1"/>
    <col min="14347" max="14592" width="9.140625" style="2"/>
    <col min="14593" max="14593" width="5.5703125" style="2" customWidth="1"/>
    <col min="14594" max="14594" width="10.28515625" style="2" customWidth="1"/>
    <col min="14595" max="14595" width="17.140625" style="2" customWidth="1"/>
    <col min="14596" max="14596" width="43.28515625" style="2" customWidth="1"/>
    <col min="14597" max="14597" width="15" style="2" customWidth="1"/>
    <col min="14598" max="14598" width="18.28515625" style="2" customWidth="1"/>
    <col min="14599" max="14599" width="15.28515625" style="2" customWidth="1"/>
    <col min="14600" max="14600" width="19.85546875" style="2" customWidth="1"/>
    <col min="14601" max="14601" width="9.140625" style="2"/>
    <col min="14602" max="14602" width="17.5703125" style="2" customWidth="1"/>
    <col min="14603" max="14848" width="9.140625" style="2"/>
    <col min="14849" max="14849" width="5.5703125" style="2" customWidth="1"/>
    <col min="14850" max="14850" width="10.28515625" style="2" customWidth="1"/>
    <col min="14851" max="14851" width="17.140625" style="2" customWidth="1"/>
    <col min="14852" max="14852" width="43.28515625" style="2" customWidth="1"/>
    <col min="14853" max="14853" width="15" style="2" customWidth="1"/>
    <col min="14854" max="14854" width="18.28515625" style="2" customWidth="1"/>
    <col min="14855" max="14855" width="15.28515625" style="2" customWidth="1"/>
    <col min="14856" max="14856" width="19.85546875" style="2" customWidth="1"/>
    <col min="14857" max="14857" width="9.140625" style="2"/>
    <col min="14858" max="14858" width="17.5703125" style="2" customWidth="1"/>
    <col min="14859" max="15104" width="9.140625" style="2"/>
    <col min="15105" max="15105" width="5.5703125" style="2" customWidth="1"/>
    <col min="15106" max="15106" width="10.28515625" style="2" customWidth="1"/>
    <col min="15107" max="15107" width="17.140625" style="2" customWidth="1"/>
    <col min="15108" max="15108" width="43.28515625" style="2" customWidth="1"/>
    <col min="15109" max="15109" width="15" style="2" customWidth="1"/>
    <col min="15110" max="15110" width="18.28515625" style="2" customWidth="1"/>
    <col min="15111" max="15111" width="15.28515625" style="2" customWidth="1"/>
    <col min="15112" max="15112" width="19.85546875" style="2" customWidth="1"/>
    <col min="15113" max="15113" width="9.140625" style="2"/>
    <col min="15114" max="15114" width="17.5703125" style="2" customWidth="1"/>
    <col min="15115" max="15360" width="9.140625" style="2"/>
    <col min="15361" max="15361" width="5.5703125" style="2" customWidth="1"/>
    <col min="15362" max="15362" width="10.28515625" style="2" customWidth="1"/>
    <col min="15363" max="15363" width="17.140625" style="2" customWidth="1"/>
    <col min="15364" max="15364" width="43.28515625" style="2" customWidth="1"/>
    <col min="15365" max="15365" width="15" style="2" customWidth="1"/>
    <col min="15366" max="15366" width="18.28515625" style="2" customWidth="1"/>
    <col min="15367" max="15367" width="15.28515625" style="2" customWidth="1"/>
    <col min="15368" max="15368" width="19.85546875" style="2" customWidth="1"/>
    <col min="15369" max="15369" width="9.140625" style="2"/>
    <col min="15370" max="15370" width="17.5703125" style="2" customWidth="1"/>
    <col min="15371" max="15616" width="9.140625" style="2"/>
    <col min="15617" max="15617" width="5.5703125" style="2" customWidth="1"/>
    <col min="15618" max="15618" width="10.28515625" style="2" customWidth="1"/>
    <col min="15619" max="15619" width="17.140625" style="2" customWidth="1"/>
    <col min="15620" max="15620" width="43.28515625" style="2" customWidth="1"/>
    <col min="15621" max="15621" width="15" style="2" customWidth="1"/>
    <col min="15622" max="15622" width="18.28515625" style="2" customWidth="1"/>
    <col min="15623" max="15623" width="15.28515625" style="2" customWidth="1"/>
    <col min="15624" max="15624" width="19.85546875" style="2" customWidth="1"/>
    <col min="15625" max="15625" width="9.140625" style="2"/>
    <col min="15626" max="15626" width="17.5703125" style="2" customWidth="1"/>
    <col min="15627" max="15872" width="9.140625" style="2"/>
    <col min="15873" max="15873" width="5.5703125" style="2" customWidth="1"/>
    <col min="15874" max="15874" width="10.28515625" style="2" customWidth="1"/>
    <col min="15875" max="15875" width="17.140625" style="2" customWidth="1"/>
    <col min="15876" max="15876" width="43.28515625" style="2" customWidth="1"/>
    <col min="15877" max="15877" width="15" style="2" customWidth="1"/>
    <col min="15878" max="15878" width="18.28515625" style="2" customWidth="1"/>
    <col min="15879" max="15879" width="15.28515625" style="2" customWidth="1"/>
    <col min="15880" max="15880" width="19.85546875" style="2" customWidth="1"/>
    <col min="15881" max="15881" width="9.140625" style="2"/>
    <col min="15882" max="15882" width="17.5703125" style="2" customWidth="1"/>
    <col min="15883" max="16128" width="9.140625" style="2"/>
    <col min="16129" max="16129" width="5.5703125" style="2" customWidth="1"/>
    <col min="16130" max="16130" width="10.28515625" style="2" customWidth="1"/>
    <col min="16131" max="16131" width="17.140625" style="2" customWidth="1"/>
    <col min="16132" max="16132" width="43.28515625" style="2" customWidth="1"/>
    <col min="16133" max="16133" width="15" style="2" customWidth="1"/>
    <col min="16134" max="16134" width="18.28515625" style="2" customWidth="1"/>
    <col min="16135" max="16135" width="15.28515625" style="2" customWidth="1"/>
    <col min="16136" max="16136" width="19.85546875" style="2" customWidth="1"/>
    <col min="16137" max="16137" width="9.140625" style="2"/>
    <col min="16138" max="16138" width="17.5703125" style="2" customWidth="1"/>
    <col min="16139" max="16384" width="9.140625" style="2"/>
  </cols>
  <sheetData>
    <row r="1" spans="1:12" s="1" customFormat="1" ht="18.75">
      <c r="A1" s="127" t="s">
        <v>54</v>
      </c>
      <c r="B1" s="127"/>
      <c r="C1" s="127"/>
      <c r="D1" s="127"/>
      <c r="E1" s="127"/>
      <c r="F1" s="127"/>
      <c r="G1" s="127"/>
      <c r="H1" s="127"/>
    </row>
    <row r="2" spans="1:12" ht="16.5" thickBot="1"/>
    <row r="3" spans="1:12" s="8" customFormat="1" ht="84" customHeight="1" thickBot="1">
      <c r="A3" s="80" t="s">
        <v>1</v>
      </c>
      <c r="B3" s="81" t="s">
        <v>2</v>
      </c>
      <c r="C3" s="82" t="s">
        <v>3</v>
      </c>
      <c r="D3" s="82" t="s">
        <v>4</v>
      </c>
      <c r="E3" s="82" t="s">
        <v>5</v>
      </c>
      <c r="F3" s="82" t="s">
        <v>6</v>
      </c>
      <c r="G3" s="82" t="s">
        <v>7</v>
      </c>
      <c r="H3" s="83" t="s">
        <v>8</v>
      </c>
      <c r="J3" s="128" t="s">
        <v>9</v>
      </c>
      <c r="K3" s="129"/>
      <c r="L3" s="129"/>
    </row>
    <row r="4" spans="1:12" ht="15.75" customHeight="1">
      <c r="A4" s="167">
        <v>1</v>
      </c>
      <c r="B4" s="170" t="s">
        <v>49</v>
      </c>
      <c r="C4" s="173" t="s">
        <v>11</v>
      </c>
      <c r="D4" s="84" t="s">
        <v>12</v>
      </c>
      <c r="E4" s="85" t="s">
        <v>13</v>
      </c>
      <c r="F4" s="86">
        <v>16.55</v>
      </c>
      <c r="G4" s="86">
        <v>104459.5</v>
      </c>
      <c r="H4" s="107">
        <f>F4*G4</f>
        <v>1728804.7250000001</v>
      </c>
    </row>
    <row r="5" spans="1:12" ht="20.25" customHeight="1">
      <c r="A5" s="168"/>
      <c r="B5" s="171"/>
      <c r="C5" s="174"/>
      <c r="D5" s="88" t="s">
        <v>16</v>
      </c>
      <c r="E5" s="89" t="s">
        <v>15</v>
      </c>
      <c r="F5" s="90">
        <v>4769.1559999999999</v>
      </c>
      <c r="G5" s="91">
        <v>120.1</v>
      </c>
      <c r="H5" s="92">
        <f>F5*G5</f>
        <v>572775.63559999992</v>
      </c>
    </row>
    <row r="6" spans="1:12" ht="16.5" customHeight="1">
      <c r="A6" s="168"/>
      <c r="B6" s="171"/>
      <c r="C6" s="174"/>
      <c r="D6" s="88" t="s">
        <v>17</v>
      </c>
      <c r="E6" s="89" t="s">
        <v>15</v>
      </c>
      <c r="F6" s="90">
        <v>112.74299999999999</v>
      </c>
      <c r="G6" s="91">
        <v>120.1</v>
      </c>
      <c r="H6" s="92">
        <f>F6*G6</f>
        <v>13540.434299999999</v>
      </c>
    </row>
    <row r="7" spans="1:12">
      <c r="A7" s="168"/>
      <c r="B7" s="171"/>
      <c r="C7" s="174"/>
      <c r="D7" s="88" t="s">
        <v>18</v>
      </c>
      <c r="E7" s="89" t="s">
        <v>15</v>
      </c>
      <c r="F7" s="90">
        <v>732.13199999999995</v>
      </c>
      <c r="G7" s="91">
        <v>120.1</v>
      </c>
      <c r="H7" s="92">
        <f>F7*G7</f>
        <v>87929.053199999995</v>
      </c>
    </row>
    <row r="8" spans="1:12">
      <c r="A8" s="168"/>
      <c r="B8" s="171"/>
      <c r="C8" s="174"/>
      <c r="D8" s="93" t="s">
        <v>19</v>
      </c>
      <c r="E8" s="94"/>
      <c r="F8" s="95">
        <f>F4</f>
        <v>16.55</v>
      </c>
      <c r="G8" s="95"/>
      <c r="H8" s="96">
        <f>H4</f>
        <v>1728804.7250000001</v>
      </c>
    </row>
    <row r="9" spans="1:12" ht="16.5" thickBot="1">
      <c r="A9" s="169"/>
      <c r="B9" s="172"/>
      <c r="C9" s="175"/>
      <c r="D9" s="97" t="s">
        <v>20</v>
      </c>
      <c r="E9" s="98"/>
      <c r="F9" s="99">
        <f>F5+F6+F7</f>
        <v>5614.0309999999999</v>
      </c>
      <c r="G9" s="100"/>
      <c r="H9" s="101">
        <f>H5+H6+H7</f>
        <v>674245.12309999985</v>
      </c>
    </row>
    <row r="10" spans="1:12" ht="16.5" customHeight="1">
      <c r="A10" s="158">
        <v>2</v>
      </c>
      <c r="B10" s="161" t="s">
        <v>21</v>
      </c>
      <c r="C10" s="164" t="s">
        <v>11</v>
      </c>
      <c r="D10" s="84" t="s">
        <v>12</v>
      </c>
      <c r="E10" s="85" t="s">
        <v>13</v>
      </c>
      <c r="F10" s="86">
        <v>16.55</v>
      </c>
      <c r="G10" s="86">
        <v>104459.5</v>
      </c>
      <c r="H10" s="107">
        <f>F10*G10</f>
        <v>1728804.7250000001</v>
      </c>
    </row>
    <row r="11" spans="1:12" ht="25.5">
      <c r="A11" s="159"/>
      <c r="B11" s="162"/>
      <c r="C11" s="165"/>
      <c r="D11" s="88" t="s">
        <v>16</v>
      </c>
      <c r="E11" s="89" t="s">
        <v>15</v>
      </c>
      <c r="F11" s="90">
        <v>4149.3119999999999</v>
      </c>
      <c r="G11" s="91">
        <v>122.69</v>
      </c>
      <c r="H11" s="92">
        <f>F11*G11</f>
        <v>509079.08927999996</v>
      </c>
    </row>
    <row r="12" spans="1:12" ht="25.5">
      <c r="A12" s="159"/>
      <c r="B12" s="162"/>
      <c r="C12" s="165"/>
      <c r="D12" s="88" t="s">
        <v>17</v>
      </c>
      <c r="E12" s="89" t="s">
        <v>15</v>
      </c>
      <c r="F12" s="90">
        <v>108.188</v>
      </c>
      <c r="G12" s="91">
        <v>122.69</v>
      </c>
      <c r="H12" s="92">
        <f>F12*G12</f>
        <v>13273.585720000001</v>
      </c>
    </row>
    <row r="13" spans="1:12">
      <c r="A13" s="159"/>
      <c r="B13" s="162"/>
      <c r="C13" s="165"/>
      <c r="D13" s="88" t="s">
        <v>18</v>
      </c>
      <c r="E13" s="89" t="s">
        <v>15</v>
      </c>
      <c r="F13" s="90">
        <v>647.58699999999999</v>
      </c>
      <c r="G13" s="91">
        <v>122.69</v>
      </c>
      <c r="H13" s="92">
        <f>F13*G13</f>
        <v>79452.449030000003</v>
      </c>
    </row>
    <row r="14" spans="1:12">
      <c r="A14" s="159"/>
      <c r="B14" s="162"/>
      <c r="C14" s="165"/>
      <c r="D14" s="93" t="s">
        <v>19</v>
      </c>
      <c r="E14" s="94"/>
      <c r="F14" s="95">
        <f>F10</f>
        <v>16.55</v>
      </c>
      <c r="G14" s="95"/>
      <c r="H14" s="96">
        <f>H10</f>
        <v>1728804.7250000001</v>
      </c>
    </row>
    <row r="15" spans="1:12" ht="16.5" thickBot="1">
      <c r="A15" s="160"/>
      <c r="B15" s="163"/>
      <c r="C15" s="166"/>
      <c r="D15" s="102" t="s">
        <v>20</v>
      </c>
      <c r="E15" s="103"/>
      <c r="F15" s="104">
        <f>F11+F12+F13</f>
        <v>4905.0869999999995</v>
      </c>
      <c r="G15" s="105"/>
      <c r="H15" s="106">
        <f>H11+H12+H13</f>
        <v>601805.12402999995</v>
      </c>
    </row>
    <row r="16" spans="1:12" ht="16.5" customHeight="1">
      <c r="A16" s="158">
        <v>3</v>
      </c>
      <c r="B16" s="161" t="s">
        <v>47</v>
      </c>
      <c r="C16" s="164" t="s">
        <v>11</v>
      </c>
      <c r="D16" s="84" t="s">
        <v>12</v>
      </c>
      <c r="E16" s="85" t="s">
        <v>13</v>
      </c>
      <c r="F16" s="86">
        <v>16.55</v>
      </c>
      <c r="G16" s="86">
        <v>104459.5</v>
      </c>
      <c r="H16" s="107">
        <f>F16*G16</f>
        <v>1728804.7250000001</v>
      </c>
    </row>
    <row r="17" spans="1:8" ht="25.5">
      <c r="A17" s="159"/>
      <c r="B17" s="162"/>
      <c r="C17" s="165"/>
      <c r="D17" s="88" t="s">
        <v>16</v>
      </c>
      <c r="E17" s="89" t="s">
        <v>15</v>
      </c>
      <c r="F17" s="90">
        <v>4174.1360000000004</v>
      </c>
      <c r="G17" s="91">
        <v>122.69</v>
      </c>
      <c r="H17" s="92">
        <f>F17*G17</f>
        <v>512124.74584000005</v>
      </c>
    </row>
    <row r="18" spans="1:8" ht="25.5">
      <c r="A18" s="159"/>
      <c r="B18" s="162"/>
      <c r="C18" s="165"/>
      <c r="D18" s="88" t="s">
        <v>17</v>
      </c>
      <c r="E18" s="89" t="s">
        <v>15</v>
      </c>
      <c r="F18" s="90">
        <v>100.669</v>
      </c>
      <c r="G18" s="91">
        <v>122.69</v>
      </c>
      <c r="H18" s="92">
        <f>F18*G18</f>
        <v>12351.079609999999</v>
      </c>
    </row>
    <row r="19" spans="1:8">
      <c r="A19" s="159"/>
      <c r="B19" s="162"/>
      <c r="C19" s="165"/>
      <c r="D19" s="88" t="s">
        <v>18</v>
      </c>
      <c r="E19" s="89" t="s">
        <v>15</v>
      </c>
      <c r="F19" s="90">
        <v>632.85500000000002</v>
      </c>
      <c r="G19" s="91">
        <v>122.69</v>
      </c>
      <c r="H19" s="92">
        <f>F19*G19</f>
        <v>77644.979949999994</v>
      </c>
    </row>
    <row r="20" spans="1:8">
      <c r="A20" s="159"/>
      <c r="B20" s="162"/>
      <c r="C20" s="165"/>
      <c r="D20" s="93" t="s">
        <v>19</v>
      </c>
      <c r="E20" s="94"/>
      <c r="F20" s="95">
        <f>F16</f>
        <v>16.55</v>
      </c>
      <c r="G20" s="95"/>
      <c r="H20" s="96">
        <f>H16</f>
        <v>1728804.7250000001</v>
      </c>
    </row>
    <row r="21" spans="1:8" ht="16.5" thickBot="1">
      <c r="A21" s="160"/>
      <c r="B21" s="163"/>
      <c r="C21" s="166"/>
      <c r="D21" s="102" t="s">
        <v>20</v>
      </c>
      <c r="E21" s="103"/>
      <c r="F21" s="104">
        <f>F17+F18+F19</f>
        <v>4907.66</v>
      </c>
      <c r="G21" s="105"/>
      <c r="H21" s="106">
        <f>H17+H18+H19</f>
        <v>602120.80539999995</v>
      </c>
    </row>
    <row r="22" spans="1:8" ht="16.5" customHeight="1">
      <c r="A22" s="158">
        <v>4</v>
      </c>
      <c r="B22" s="161" t="s">
        <v>23</v>
      </c>
      <c r="C22" s="164" t="s">
        <v>11</v>
      </c>
      <c r="D22" s="84" t="s">
        <v>12</v>
      </c>
      <c r="E22" s="85" t="s">
        <v>13</v>
      </c>
      <c r="F22" s="86">
        <v>16.55</v>
      </c>
      <c r="G22" s="86">
        <v>104459.5</v>
      </c>
      <c r="H22" s="107">
        <f>F22*G22</f>
        <v>1728804.7250000001</v>
      </c>
    </row>
    <row r="23" spans="1:8" ht="25.5">
      <c r="A23" s="159"/>
      <c r="B23" s="162"/>
      <c r="C23" s="165"/>
      <c r="D23" s="88" t="s">
        <v>16</v>
      </c>
      <c r="E23" s="89" t="s">
        <v>15</v>
      </c>
      <c r="F23" s="90">
        <v>3438.7179999999998</v>
      </c>
      <c r="G23" s="91">
        <v>122.69</v>
      </c>
      <c r="H23" s="92">
        <f>F23*G23</f>
        <v>421896.31141999998</v>
      </c>
    </row>
    <row r="24" spans="1:8" ht="25.5">
      <c r="A24" s="159"/>
      <c r="B24" s="162"/>
      <c r="C24" s="165"/>
      <c r="D24" s="88" t="s">
        <v>17</v>
      </c>
      <c r="E24" s="89" t="s">
        <v>15</v>
      </c>
      <c r="F24" s="90">
        <v>75.742000000000004</v>
      </c>
      <c r="G24" s="91">
        <v>122.69</v>
      </c>
      <c r="H24" s="92">
        <f>F24*G24</f>
        <v>9292.7859800000006</v>
      </c>
    </row>
    <row r="25" spans="1:8">
      <c r="A25" s="159"/>
      <c r="B25" s="162"/>
      <c r="C25" s="165"/>
      <c r="D25" s="88" t="s">
        <v>18</v>
      </c>
      <c r="E25" s="89" t="s">
        <v>15</v>
      </c>
      <c r="F25" s="90">
        <v>709.18299999999999</v>
      </c>
      <c r="G25" s="91">
        <v>122.69</v>
      </c>
      <c r="H25" s="92">
        <f>F25*G25</f>
        <v>87009.662270000001</v>
      </c>
    </row>
    <row r="26" spans="1:8">
      <c r="A26" s="159"/>
      <c r="B26" s="162"/>
      <c r="C26" s="165"/>
      <c r="D26" s="93" t="s">
        <v>19</v>
      </c>
      <c r="E26" s="94"/>
      <c r="F26" s="95">
        <f>F22</f>
        <v>16.55</v>
      </c>
      <c r="G26" s="95"/>
      <c r="H26" s="96">
        <f>H22</f>
        <v>1728804.7250000001</v>
      </c>
    </row>
    <row r="27" spans="1:8" ht="16.5" thickBot="1">
      <c r="A27" s="160"/>
      <c r="B27" s="163"/>
      <c r="C27" s="166"/>
      <c r="D27" s="102" t="s">
        <v>20</v>
      </c>
      <c r="E27" s="103"/>
      <c r="F27" s="104">
        <f>F23+F24+F25</f>
        <v>4223.643</v>
      </c>
      <c r="G27" s="105"/>
      <c r="H27" s="106">
        <f>H23+H24+H25</f>
        <v>518198.75966999994</v>
      </c>
    </row>
    <row r="28" spans="1:8">
      <c r="A28" s="158">
        <v>5</v>
      </c>
      <c r="B28" s="161" t="s">
        <v>24</v>
      </c>
      <c r="C28" s="164" t="s">
        <v>11</v>
      </c>
      <c r="D28" s="84" t="s">
        <v>12</v>
      </c>
      <c r="E28" s="85" t="s">
        <v>13</v>
      </c>
      <c r="F28" s="86">
        <v>16.55</v>
      </c>
      <c r="G28" s="86">
        <v>104459.5</v>
      </c>
      <c r="H28" s="107">
        <f>F28*G28</f>
        <v>1728804.7250000001</v>
      </c>
    </row>
    <row r="29" spans="1:8" ht="25.5">
      <c r="A29" s="159"/>
      <c r="B29" s="162"/>
      <c r="C29" s="165"/>
      <c r="D29" s="88" t="s">
        <v>16</v>
      </c>
      <c r="E29" s="89" t="s">
        <v>15</v>
      </c>
      <c r="F29" s="90">
        <v>3126.8319999999999</v>
      </c>
      <c r="G29" s="91">
        <v>122.69</v>
      </c>
      <c r="H29" s="92">
        <f>F29*G29</f>
        <v>383631.01807999995</v>
      </c>
    </row>
    <row r="30" spans="1:8" ht="25.5">
      <c r="A30" s="159"/>
      <c r="B30" s="162"/>
      <c r="C30" s="165"/>
      <c r="D30" s="88" t="s">
        <v>17</v>
      </c>
      <c r="E30" s="89" t="s">
        <v>15</v>
      </c>
      <c r="F30" s="90">
        <v>66.188000000000002</v>
      </c>
      <c r="G30" s="91">
        <v>122.69</v>
      </c>
      <c r="H30" s="92">
        <f>F30*G30</f>
        <v>8120.6057200000005</v>
      </c>
    </row>
    <row r="31" spans="1:8">
      <c r="A31" s="159"/>
      <c r="B31" s="162"/>
      <c r="C31" s="165"/>
      <c r="D31" s="88" t="s">
        <v>18</v>
      </c>
      <c r="E31" s="89" t="s">
        <v>15</v>
      </c>
      <c r="F31" s="90">
        <v>568.94200000000001</v>
      </c>
      <c r="G31" s="91">
        <v>122.69</v>
      </c>
      <c r="H31" s="92">
        <f>F31*G31</f>
        <v>69803.493979999999</v>
      </c>
    </row>
    <row r="32" spans="1:8">
      <c r="A32" s="159"/>
      <c r="B32" s="162"/>
      <c r="C32" s="165"/>
      <c r="D32" s="93" t="s">
        <v>19</v>
      </c>
      <c r="E32" s="94"/>
      <c r="F32" s="95">
        <f>F28</f>
        <v>16.55</v>
      </c>
      <c r="G32" s="95"/>
      <c r="H32" s="96">
        <f>H28</f>
        <v>1728804.7250000001</v>
      </c>
    </row>
    <row r="33" spans="1:8" ht="16.5" thickBot="1">
      <c r="A33" s="160"/>
      <c r="B33" s="163"/>
      <c r="C33" s="166"/>
      <c r="D33" s="102" t="s">
        <v>20</v>
      </c>
      <c r="E33" s="103"/>
      <c r="F33" s="104">
        <f>F29+F30+F31</f>
        <v>3761.962</v>
      </c>
      <c r="G33" s="105"/>
      <c r="H33" s="106">
        <f>H29+H30+H31</f>
        <v>461555.11777999997</v>
      </c>
    </row>
    <row r="34" spans="1:8">
      <c r="A34" s="158">
        <v>6</v>
      </c>
      <c r="B34" s="161" t="s">
        <v>25</v>
      </c>
      <c r="C34" s="164" t="s">
        <v>11</v>
      </c>
      <c r="D34" s="84" t="s">
        <v>12</v>
      </c>
      <c r="E34" s="85" t="s">
        <v>13</v>
      </c>
      <c r="F34" s="86">
        <v>16.55</v>
      </c>
      <c r="G34" s="86">
        <v>104459.5</v>
      </c>
      <c r="H34" s="107">
        <f>F34*G34</f>
        <v>1728804.7250000001</v>
      </c>
    </row>
    <row r="35" spans="1:8" ht="25.5">
      <c r="A35" s="159"/>
      <c r="B35" s="162"/>
      <c r="C35" s="165"/>
      <c r="D35" s="88" t="s">
        <v>16</v>
      </c>
      <c r="E35" s="89" t="s">
        <v>15</v>
      </c>
      <c r="F35" s="90">
        <v>2440.3510000000001</v>
      </c>
      <c r="G35" s="91">
        <v>122.69</v>
      </c>
      <c r="H35" s="92">
        <f>F35*G35</f>
        <v>299406.66418999998</v>
      </c>
    </row>
    <row r="36" spans="1:8" ht="25.5">
      <c r="A36" s="159"/>
      <c r="B36" s="162"/>
      <c r="C36" s="165"/>
      <c r="D36" s="88" t="s">
        <v>17</v>
      </c>
      <c r="E36" s="89" t="s">
        <v>15</v>
      </c>
      <c r="F36" s="90">
        <v>78.81</v>
      </c>
      <c r="G36" s="91">
        <v>122.69</v>
      </c>
      <c r="H36" s="92">
        <f>F36*G36</f>
        <v>9669.1988999999994</v>
      </c>
    </row>
    <row r="37" spans="1:8">
      <c r="A37" s="159"/>
      <c r="B37" s="162"/>
      <c r="C37" s="165"/>
      <c r="D37" s="88" t="s">
        <v>18</v>
      </c>
      <c r="E37" s="89" t="s">
        <v>15</v>
      </c>
      <c r="F37" s="90">
        <v>699.37400000000002</v>
      </c>
      <c r="G37" s="91">
        <v>122.69</v>
      </c>
      <c r="H37" s="92">
        <f>F37*G37</f>
        <v>85806.196060000002</v>
      </c>
    </row>
    <row r="38" spans="1:8">
      <c r="A38" s="159"/>
      <c r="B38" s="162"/>
      <c r="C38" s="165"/>
      <c r="D38" s="93" t="s">
        <v>19</v>
      </c>
      <c r="E38" s="94"/>
      <c r="F38" s="95">
        <f>F34</f>
        <v>16.55</v>
      </c>
      <c r="G38" s="95"/>
      <c r="H38" s="96">
        <f>H34</f>
        <v>1728804.7250000001</v>
      </c>
    </row>
    <row r="39" spans="1:8" ht="16.5" thickBot="1">
      <c r="A39" s="160"/>
      <c r="B39" s="163"/>
      <c r="C39" s="166"/>
      <c r="D39" s="102" t="s">
        <v>20</v>
      </c>
      <c r="E39" s="103"/>
      <c r="F39" s="104">
        <f>F35+F36+F37</f>
        <v>3218.5349999999999</v>
      </c>
      <c r="G39" s="105"/>
      <c r="H39" s="106">
        <f>H35+H36+H37</f>
        <v>394882.05914999999</v>
      </c>
    </row>
    <row r="40" spans="1:8">
      <c r="A40" s="158">
        <v>7</v>
      </c>
      <c r="B40" s="161" t="s">
        <v>26</v>
      </c>
      <c r="C40" s="164" t="s">
        <v>11</v>
      </c>
      <c r="D40" s="84" t="s">
        <v>12</v>
      </c>
      <c r="E40" s="85" t="s">
        <v>13</v>
      </c>
      <c r="F40" s="86">
        <v>16.55</v>
      </c>
      <c r="G40" s="86">
        <v>104459.5</v>
      </c>
      <c r="H40" s="107">
        <f>F40*G40</f>
        <v>1728804.7250000001</v>
      </c>
    </row>
    <row r="41" spans="1:8" ht="25.5">
      <c r="A41" s="159"/>
      <c r="B41" s="162"/>
      <c r="C41" s="165"/>
      <c r="D41" s="88" t="s">
        <v>16</v>
      </c>
      <c r="E41" s="89" t="s">
        <v>15</v>
      </c>
      <c r="F41" s="90">
        <v>3339.4470000000001</v>
      </c>
      <c r="G41" s="91">
        <v>120.23</v>
      </c>
      <c r="H41" s="92">
        <f>F41*G41</f>
        <v>401501.71281000006</v>
      </c>
    </row>
    <row r="42" spans="1:8" ht="25.5">
      <c r="A42" s="159"/>
      <c r="B42" s="162"/>
      <c r="C42" s="165"/>
      <c r="D42" s="88" t="s">
        <v>17</v>
      </c>
      <c r="E42" s="89" t="s">
        <v>15</v>
      </c>
      <c r="F42" s="90">
        <v>85.619</v>
      </c>
      <c r="G42" s="91">
        <v>120.23</v>
      </c>
      <c r="H42" s="92">
        <f>F42*G42</f>
        <v>10293.97237</v>
      </c>
    </row>
    <row r="43" spans="1:8">
      <c r="A43" s="159"/>
      <c r="B43" s="162"/>
      <c r="C43" s="165"/>
      <c r="D43" s="88" t="s">
        <v>18</v>
      </c>
      <c r="E43" s="89" t="s">
        <v>15</v>
      </c>
      <c r="F43" s="90">
        <v>658.30600000000004</v>
      </c>
      <c r="G43" s="91">
        <v>120.23</v>
      </c>
      <c r="H43" s="92">
        <f>F43*G43</f>
        <v>79148.130380000002</v>
      </c>
    </row>
    <row r="44" spans="1:8">
      <c r="A44" s="159"/>
      <c r="B44" s="162"/>
      <c r="C44" s="165"/>
      <c r="D44" s="93" t="s">
        <v>19</v>
      </c>
      <c r="E44" s="94"/>
      <c r="F44" s="95">
        <f>F40</f>
        <v>16.55</v>
      </c>
      <c r="G44" s="95"/>
      <c r="H44" s="96">
        <f>H40</f>
        <v>1728804.7250000001</v>
      </c>
    </row>
    <row r="45" spans="1:8" ht="16.5" thickBot="1">
      <c r="A45" s="160"/>
      <c r="B45" s="163"/>
      <c r="C45" s="166"/>
      <c r="D45" s="102" t="s">
        <v>20</v>
      </c>
      <c r="E45" s="103"/>
      <c r="F45" s="104">
        <f>F41+F42+F43</f>
        <v>4083.3720000000003</v>
      </c>
      <c r="G45" s="105"/>
      <c r="H45" s="106">
        <f>H41+H42+H43</f>
        <v>490943.81556000002</v>
      </c>
    </row>
    <row r="46" spans="1:8">
      <c r="A46" s="158">
        <v>8</v>
      </c>
      <c r="B46" s="161" t="s">
        <v>27</v>
      </c>
      <c r="C46" s="164" t="s">
        <v>11</v>
      </c>
      <c r="D46" s="84" t="s">
        <v>12</v>
      </c>
      <c r="E46" s="85" t="s">
        <v>13</v>
      </c>
      <c r="F46" s="86">
        <v>16.55</v>
      </c>
      <c r="G46" s="86">
        <v>104459.5</v>
      </c>
      <c r="H46" s="107">
        <f>F46*G46</f>
        <v>1728804.7250000001</v>
      </c>
    </row>
    <row r="47" spans="1:8" ht="25.5">
      <c r="A47" s="159"/>
      <c r="B47" s="162"/>
      <c r="C47" s="165"/>
      <c r="D47" s="88" t="s">
        <v>16</v>
      </c>
      <c r="E47" s="89" t="s">
        <v>15</v>
      </c>
      <c r="F47" s="90">
        <v>4098.5550000000003</v>
      </c>
      <c r="G47" s="91">
        <v>120.23</v>
      </c>
      <c r="H47" s="92">
        <f>F47*G47</f>
        <v>492769.26765000005</v>
      </c>
    </row>
    <row r="48" spans="1:8" ht="25.5">
      <c r="A48" s="159"/>
      <c r="B48" s="162"/>
      <c r="C48" s="165"/>
      <c r="D48" s="88" t="s">
        <v>17</v>
      </c>
      <c r="E48" s="89" t="s">
        <v>15</v>
      </c>
      <c r="F48" s="90">
        <v>88.399000000000001</v>
      </c>
      <c r="G48" s="91">
        <v>120.23</v>
      </c>
      <c r="H48" s="92">
        <f>F48*G48</f>
        <v>10628.21177</v>
      </c>
    </row>
    <row r="49" spans="1:8">
      <c r="A49" s="159"/>
      <c r="B49" s="162"/>
      <c r="C49" s="165"/>
      <c r="D49" s="88" t="s">
        <v>18</v>
      </c>
      <c r="E49" s="89" t="s">
        <v>15</v>
      </c>
      <c r="F49" s="90">
        <v>897.87400000000002</v>
      </c>
      <c r="G49" s="91">
        <v>120.23</v>
      </c>
      <c r="H49" s="92">
        <f>F49*G49</f>
        <v>107951.39102000001</v>
      </c>
    </row>
    <row r="50" spans="1:8">
      <c r="A50" s="159"/>
      <c r="B50" s="162"/>
      <c r="C50" s="165"/>
      <c r="D50" s="93" t="s">
        <v>19</v>
      </c>
      <c r="E50" s="94"/>
      <c r="F50" s="95">
        <f>F46</f>
        <v>16.55</v>
      </c>
      <c r="G50" s="95"/>
      <c r="H50" s="96">
        <f>H46</f>
        <v>1728804.7250000001</v>
      </c>
    </row>
    <row r="51" spans="1:8" ht="16.5" thickBot="1">
      <c r="A51" s="160"/>
      <c r="B51" s="163"/>
      <c r="C51" s="166"/>
      <c r="D51" s="102" t="s">
        <v>20</v>
      </c>
      <c r="E51" s="103"/>
      <c r="F51" s="104">
        <f>F47+F48+F49</f>
        <v>5084.8280000000004</v>
      </c>
      <c r="G51" s="105"/>
      <c r="H51" s="106">
        <f>H47+H48+H49</f>
        <v>611348.87044000009</v>
      </c>
    </row>
    <row r="52" spans="1:8">
      <c r="A52" s="158">
        <v>9</v>
      </c>
      <c r="B52" s="161" t="s">
        <v>28</v>
      </c>
      <c r="C52" s="164" t="s">
        <v>11</v>
      </c>
      <c r="D52" s="84" t="s">
        <v>12</v>
      </c>
      <c r="E52" s="85" t="s">
        <v>13</v>
      </c>
      <c r="F52" s="86">
        <v>16.55</v>
      </c>
      <c r="G52" s="86">
        <v>104459.5</v>
      </c>
      <c r="H52" s="107">
        <f>F52*G52</f>
        <v>1728804.7250000001</v>
      </c>
    </row>
    <row r="53" spans="1:8" ht="25.5">
      <c r="A53" s="159"/>
      <c r="B53" s="162"/>
      <c r="C53" s="165"/>
      <c r="D53" s="88" t="s">
        <v>16</v>
      </c>
      <c r="E53" s="89" t="s">
        <v>15</v>
      </c>
      <c r="F53" s="90">
        <v>3807.12</v>
      </c>
      <c r="G53" s="91">
        <v>120.23</v>
      </c>
      <c r="H53" s="92">
        <f>F53*G53</f>
        <v>457730.03759999998</v>
      </c>
    </row>
    <row r="54" spans="1:8" ht="25.5">
      <c r="A54" s="159"/>
      <c r="B54" s="162"/>
      <c r="C54" s="165"/>
      <c r="D54" s="88" t="s">
        <v>17</v>
      </c>
      <c r="E54" s="89" t="s">
        <v>15</v>
      </c>
      <c r="F54" s="90">
        <v>84.063000000000002</v>
      </c>
      <c r="G54" s="91">
        <v>120.23</v>
      </c>
      <c r="H54" s="92">
        <f>F54*G54</f>
        <v>10106.894490000001</v>
      </c>
    </row>
    <row r="55" spans="1:8">
      <c r="A55" s="159"/>
      <c r="B55" s="162"/>
      <c r="C55" s="165"/>
      <c r="D55" s="88" t="s">
        <v>18</v>
      </c>
      <c r="E55" s="89" t="s">
        <v>15</v>
      </c>
      <c r="F55" s="90">
        <v>764.67700000000002</v>
      </c>
      <c r="G55" s="91">
        <v>120.23</v>
      </c>
      <c r="H55" s="92">
        <f>F55*G55</f>
        <v>91937.115710000013</v>
      </c>
    </row>
    <row r="56" spans="1:8">
      <c r="A56" s="159"/>
      <c r="B56" s="162"/>
      <c r="C56" s="165"/>
      <c r="D56" s="93" t="s">
        <v>19</v>
      </c>
      <c r="E56" s="94"/>
      <c r="F56" s="95">
        <f>F52</f>
        <v>16.55</v>
      </c>
      <c r="G56" s="95"/>
      <c r="H56" s="96">
        <f>H52</f>
        <v>1728804.7250000001</v>
      </c>
    </row>
    <row r="57" spans="1:8" ht="16.5" thickBot="1">
      <c r="A57" s="160"/>
      <c r="B57" s="163"/>
      <c r="C57" s="166"/>
      <c r="D57" s="102" t="s">
        <v>20</v>
      </c>
      <c r="E57" s="103"/>
      <c r="F57" s="104">
        <f>F53+F54+F55</f>
        <v>4655.8599999999997</v>
      </c>
      <c r="G57" s="105"/>
      <c r="H57" s="106">
        <f>H53+H54+H55</f>
        <v>559774.04779999994</v>
      </c>
    </row>
    <row r="58" spans="1:8">
      <c r="A58" s="158">
        <v>10</v>
      </c>
      <c r="B58" s="161" t="s">
        <v>29</v>
      </c>
      <c r="C58" s="164" t="s">
        <v>11</v>
      </c>
      <c r="D58" s="84" t="s">
        <v>12</v>
      </c>
      <c r="E58" s="85" t="s">
        <v>13</v>
      </c>
      <c r="F58" s="86">
        <v>16.55</v>
      </c>
      <c r="G58" s="86">
        <v>104459.5</v>
      </c>
      <c r="H58" s="107">
        <f>F58*G58</f>
        <v>1728804.7250000001</v>
      </c>
    </row>
    <row r="59" spans="1:8" ht="25.5">
      <c r="A59" s="159"/>
      <c r="B59" s="162"/>
      <c r="C59" s="165"/>
      <c r="D59" s="88" t="s">
        <v>16</v>
      </c>
      <c r="E59" s="89" t="s">
        <v>15</v>
      </c>
      <c r="F59" s="90">
        <v>4093.107</v>
      </c>
      <c r="G59" s="91">
        <v>120.23</v>
      </c>
      <c r="H59" s="92">
        <f>F59*G59</f>
        <v>492114.25461</v>
      </c>
    </row>
    <row r="60" spans="1:8" ht="25.5">
      <c r="A60" s="159"/>
      <c r="B60" s="162"/>
      <c r="C60" s="165"/>
      <c r="D60" s="88" t="s">
        <v>17</v>
      </c>
      <c r="E60" s="89" t="s">
        <v>15</v>
      </c>
      <c r="F60" s="90">
        <v>83.171999999999997</v>
      </c>
      <c r="G60" s="91">
        <v>120.23</v>
      </c>
      <c r="H60" s="92">
        <f>F60*G60</f>
        <v>9999.7695600000006</v>
      </c>
    </row>
    <row r="61" spans="1:8">
      <c r="A61" s="159"/>
      <c r="B61" s="162"/>
      <c r="C61" s="165"/>
      <c r="D61" s="88" t="s">
        <v>18</v>
      </c>
      <c r="E61" s="89" t="s">
        <v>15</v>
      </c>
      <c r="F61" s="90">
        <v>686.26300000000003</v>
      </c>
      <c r="G61" s="91">
        <v>120.23</v>
      </c>
      <c r="H61" s="92">
        <f>F61*G61</f>
        <v>82509.40049</v>
      </c>
    </row>
    <row r="62" spans="1:8">
      <c r="A62" s="159"/>
      <c r="B62" s="162"/>
      <c r="C62" s="165"/>
      <c r="D62" s="93" t="s">
        <v>19</v>
      </c>
      <c r="E62" s="94"/>
      <c r="F62" s="95">
        <f>F58</f>
        <v>16.55</v>
      </c>
      <c r="G62" s="95"/>
      <c r="H62" s="96">
        <f>H58</f>
        <v>1728804.7250000001</v>
      </c>
    </row>
    <row r="63" spans="1:8" ht="16.5" thickBot="1">
      <c r="A63" s="160"/>
      <c r="B63" s="163"/>
      <c r="C63" s="166"/>
      <c r="D63" s="102" t="s">
        <v>20</v>
      </c>
      <c r="E63" s="103"/>
      <c r="F63" s="104">
        <f>F59+F60+F61</f>
        <v>4862.5419999999995</v>
      </c>
      <c r="G63" s="105"/>
      <c r="H63" s="106">
        <f>H59+H60+H61</f>
        <v>584623.42466000002</v>
      </c>
    </row>
    <row r="64" spans="1:8" ht="16.5" customHeight="1">
      <c r="A64" s="158">
        <v>11</v>
      </c>
      <c r="B64" s="161" t="s">
        <v>30</v>
      </c>
      <c r="C64" s="164" t="s">
        <v>11</v>
      </c>
      <c r="D64" s="84" t="s">
        <v>12</v>
      </c>
      <c r="E64" s="85" t="s">
        <v>13</v>
      </c>
      <c r="F64" s="86">
        <v>16.55</v>
      </c>
      <c r="G64" s="86">
        <v>104459.5</v>
      </c>
      <c r="H64" s="107">
        <f>F64*G64</f>
        <v>1728804.7250000001</v>
      </c>
    </row>
    <row r="65" spans="1:10" ht="25.5">
      <c r="A65" s="159"/>
      <c r="B65" s="162"/>
      <c r="C65" s="165"/>
      <c r="D65" s="88" t="s">
        <v>16</v>
      </c>
      <c r="E65" s="89" t="s">
        <v>15</v>
      </c>
      <c r="F65" s="90">
        <v>4205.0739999999996</v>
      </c>
      <c r="G65" s="91">
        <v>120.23</v>
      </c>
      <c r="H65" s="92">
        <f>F65*G65</f>
        <v>505576.04702</v>
      </c>
    </row>
    <row r="66" spans="1:10" ht="25.5">
      <c r="A66" s="159"/>
      <c r="B66" s="162"/>
      <c r="C66" s="165"/>
      <c r="D66" s="88" t="s">
        <v>17</v>
      </c>
      <c r="E66" s="89" t="s">
        <v>15</v>
      </c>
      <c r="F66" s="90">
        <v>81.451999999999998</v>
      </c>
      <c r="G66" s="91">
        <v>120.23</v>
      </c>
      <c r="H66" s="92">
        <f>F66*G66</f>
        <v>9792.9739599999994</v>
      </c>
    </row>
    <row r="67" spans="1:10">
      <c r="A67" s="159"/>
      <c r="B67" s="162"/>
      <c r="C67" s="165"/>
      <c r="D67" s="88" t="s">
        <v>18</v>
      </c>
      <c r="E67" s="89" t="s">
        <v>15</v>
      </c>
      <c r="F67" s="90">
        <v>683.67100000000005</v>
      </c>
      <c r="G67" s="91">
        <v>120.23</v>
      </c>
      <c r="H67" s="92">
        <f>F67*G67</f>
        <v>82197.764330000005</v>
      </c>
    </row>
    <row r="68" spans="1:10">
      <c r="A68" s="159"/>
      <c r="B68" s="162"/>
      <c r="C68" s="165"/>
      <c r="D68" s="93" t="s">
        <v>19</v>
      </c>
      <c r="E68" s="94"/>
      <c r="F68" s="95">
        <f>F64</f>
        <v>16.55</v>
      </c>
      <c r="G68" s="95"/>
      <c r="H68" s="96">
        <f>H64</f>
        <v>1728804.7250000001</v>
      </c>
    </row>
    <row r="69" spans="1:10" ht="16.5" thickBot="1">
      <c r="A69" s="160"/>
      <c r="B69" s="163"/>
      <c r="C69" s="166"/>
      <c r="D69" s="102" t="s">
        <v>20</v>
      </c>
      <c r="E69" s="103"/>
      <c r="F69" s="104">
        <f>F65+F66+F67</f>
        <v>4970.1970000000001</v>
      </c>
      <c r="G69" s="105"/>
      <c r="H69" s="106">
        <f>H65+H66+H67</f>
        <v>597566.78530999995</v>
      </c>
    </row>
    <row r="70" spans="1:10" ht="16.5" customHeight="1">
      <c r="A70" s="158">
        <v>12</v>
      </c>
      <c r="B70" s="161" t="s">
        <v>31</v>
      </c>
      <c r="C70" s="164" t="s">
        <v>11</v>
      </c>
      <c r="D70" s="84" t="s">
        <v>12</v>
      </c>
      <c r="E70" s="85" t="s">
        <v>13</v>
      </c>
      <c r="F70" s="86">
        <v>16.55</v>
      </c>
      <c r="G70" s="86">
        <v>104459.5</v>
      </c>
      <c r="H70" s="107">
        <f>F70*G70</f>
        <v>1728804.7250000001</v>
      </c>
    </row>
    <row r="71" spans="1:10" ht="25.5">
      <c r="A71" s="159"/>
      <c r="B71" s="162"/>
      <c r="C71" s="165"/>
      <c r="D71" s="88" t="s">
        <v>16</v>
      </c>
      <c r="E71" s="89" t="s">
        <v>15</v>
      </c>
      <c r="F71" s="90">
        <v>4794.0200000000004</v>
      </c>
      <c r="G71" s="91">
        <v>120.23</v>
      </c>
      <c r="H71" s="92">
        <f>F71*G71</f>
        <v>576385.02460000012</v>
      </c>
    </row>
    <row r="72" spans="1:10" ht="25.5">
      <c r="A72" s="159"/>
      <c r="B72" s="162"/>
      <c r="C72" s="165"/>
      <c r="D72" s="88" t="s">
        <v>17</v>
      </c>
      <c r="E72" s="89" t="s">
        <v>15</v>
      </c>
      <c r="F72" s="90">
        <v>80.468000000000004</v>
      </c>
      <c r="G72" s="91">
        <v>120.23</v>
      </c>
      <c r="H72" s="92">
        <f>F72*G72</f>
        <v>9674.6676400000015</v>
      </c>
    </row>
    <row r="73" spans="1:10">
      <c r="A73" s="159"/>
      <c r="B73" s="162"/>
      <c r="C73" s="165"/>
      <c r="D73" s="88" t="s">
        <v>18</v>
      </c>
      <c r="E73" s="89" t="s">
        <v>15</v>
      </c>
      <c r="F73" s="90">
        <v>588.58299999999997</v>
      </c>
      <c r="G73" s="91">
        <v>120.23</v>
      </c>
      <c r="H73" s="92">
        <f>F73*G73</f>
        <v>70765.334090000004</v>
      </c>
    </row>
    <row r="74" spans="1:10">
      <c r="A74" s="159"/>
      <c r="B74" s="162"/>
      <c r="C74" s="165"/>
      <c r="D74" s="93" t="s">
        <v>19</v>
      </c>
      <c r="E74" s="94"/>
      <c r="F74" s="95">
        <f>F70</f>
        <v>16.55</v>
      </c>
      <c r="G74" s="95"/>
      <c r="H74" s="96">
        <f>H70</f>
        <v>1728804.7250000001</v>
      </c>
    </row>
    <row r="75" spans="1:10" ht="16.5" thickBot="1">
      <c r="A75" s="160"/>
      <c r="B75" s="163"/>
      <c r="C75" s="166"/>
      <c r="D75" s="102" t="s">
        <v>20</v>
      </c>
      <c r="E75" s="103"/>
      <c r="F75" s="104">
        <f>F71+F72+F73</f>
        <v>5463.0709999999999</v>
      </c>
      <c r="G75" s="105"/>
      <c r="H75" s="106">
        <f>H71+H72+H73</f>
        <v>656825.02633000014</v>
      </c>
    </row>
    <row r="76" spans="1:10">
      <c r="A76" s="158">
        <v>13</v>
      </c>
      <c r="B76" s="161">
        <v>2015</v>
      </c>
      <c r="C76" s="164" t="s">
        <v>11</v>
      </c>
      <c r="D76" s="84" t="s">
        <v>12</v>
      </c>
      <c r="E76" s="85" t="s">
        <v>13</v>
      </c>
      <c r="F76" s="86">
        <v>16.55</v>
      </c>
      <c r="G76" s="86">
        <v>104459.5</v>
      </c>
      <c r="H76" s="107">
        <f>F76*G76*12</f>
        <v>20745656.700000003</v>
      </c>
      <c r="J76" s="46"/>
    </row>
    <row r="77" spans="1:10" ht="25.5">
      <c r="A77" s="159"/>
      <c r="B77" s="162"/>
      <c r="C77" s="165"/>
      <c r="D77" s="88" t="s">
        <v>16</v>
      </c>
      <c r="E77" s="89" t="s">
        <v>15</v>
      </c>
      <c r="F77" s="90">
        <f>F5+F11+F17+F23+F29+F35+F41+F47+F53+F59+F65+F71</f>
        <v>46435.827999999994</v>
      </c>
      <c r="G77" s="108"/>
      <c r="H77" s="92">
        <f>H5+H11+H17+H23+H29+H35+H41+H47+H53+H59+H65+H71</f>
        <v>5624989.8086999999</v>
      </c>
    </row>
    <row r="78" spans="1:10" ht="25.5">
      <c r="A78" s="159"/>
      <c r="B78" s="162"/>
      <c r="C78" s="165"/>
      <c r="D78" s="88" t="s">
        <v>17</v>
      </c>
      <c r="E78" s="89" t="s">
        <v>15</v>
      </c>
      <c r="F78" s="90">
        <f>F6+F12+F18+F24+F30+F36+F42+F48+F54+F60+F66+F72</f>
        <v>1045.5129999999999</v>
      </c>
      <c r="G78" s="108"/>
      <c r="H78" s="92">
        <f>H6+H12+H18+H24+H30+H36+H42+H48+H54+H60+H66+H72</f>
        <v>126744.18002</v>
      </c>
    </row>
    <row r="79" spans="1:10">
      <c r="A79" s="159"/>
      <c r="B79" s="162"/>
      <c r="C79" s="165"/>
      <c r="D79" s="88" t="s">
        <v>18</v>
      </c>
      <c r="E79" s="89" t="s">
        <v>15</v>
      </c>
      <c r="F79" s="90">
        <f>F7+F13+F19+F25+F31+F37+F43+F49+F55+F61+F67+F73</f>
        <v>8269.4470000000001</v>
      </c>
      <c r="G79" s="108"/>
      <c r="H79" s="92">
        <f>H7+H13+H19+H25+H31+H37+H43+H49+H55+H61+H67+H73</f>
        <v>1002154.9705100001</v>
      </c>
    </row>
    <row r="80" spans="1:10">
      <c r="A80" s="159"/>
      <c r="B80" s="162"/>
      <c r="C80" s="165"/>
      <c r="D80" s="93" t="s">
        <v>19</v>
      </c>
      <c r="E80" s="94"/>
      <c r="F80" s="95">
        <f>F76</f>
        <v>16.55</v>
      </c>
      <c r="G80" s="95"/>
      <c r="H80" s="96">
        <f>H76</f>
        <v>20745656.700000003</v>
      </c>
    </row>
    <row r="81" spans="1:8" ht="16.5" thickBot="1">
      <c r="A81" s="160"/>
      <c r="B81" s="163"/>
      <c r="C81" s="166"/>
      <c r="D81" s="102" t="s">
        <v>20</v>
      </c>
      <c r="E81" s="103"/>
      <c r="F81" s="104">
        <f>F77+F78+F79</f>
        <v>55750.787999999993</v>
      </c>
      <c r="G81" s="105"/>
      <c r="H81" s="106">
        <f>H77+H78+H79</f>
        <v>6753888.9592300002</v>
      </c>
    </row>
    <row r="82" spans="1:8">
      <c r="A82" s="50"/>
      <c r="B82" s="50"/>
      <c r="C82" s="51"/>
      <c r="D82" s="52"/>
      <c r="E82" s="53"/>
      <c r="F82" s="54"/>
      <c r="G82" s="55"/>
      <c r="H82" s="55"/>
    </row>
    <row r="83" spans="1:8" s="56" customFormat="1" ht="18.75">
      <c r="E83" s="57"/>
    </row>
    <row r="84" spans="1:8" s="56" customFormat="1" ht="18.75">
      <c r="B84" s="56" t="s">
        <v>51</v>
      </c>
      <c r="E84" s="57"/>
      <c r="F84" s="56" t="s">
        <v>33</v>
      </c>
    </row>
    <row r="85" spans="1:8" s="56" customFormat="1" ht="18.75">
      <c r="E85" s="57"/>
    </row>
    <row r="86" spans="1:8" s="56" customFormat="1" ht="18.75">
      <c r="B86" s="56" t="s">
        <v>34</v>
      </c>
      <c r="E86" s="57"/>
      <c r="F86" s="56" t="s">
        <v>35</v>
      </c>
    </row>
  </sheetData>
  <mergeCells count="41">
    <mergeCell ref="A10:A15"/>
    <mergeCell ref="B10:B15"/>
    <mergeCell ref="C10:C15"/>
    <mergeCell ref="A1:H1"/>
    <mergeCell ref="J3:L3"/>
    <mergeCell ref="A4:A9"/>
    <mergeCell ref="B4:B9"/>
    <mergeCell ref="C4:C9"/>
    <mergeCell ref="A16:A21"/>
    <mergeCell ref="B16:B21"/>
    <mergeCell ref="C16:C21"/>
    <mergeCell ref="A22:A27"/>
    <mergeCell ref="B22:B27"/>
    <mergeCell ref="C22:C27"/>
    <mergeCell ref="A28:A33"/>
    <mergeCell ref="B28:B33"/>
    <mergeCell ref="C28:C33"/>
    <mergeCell ref="A34:A39"/>
    <mergeCell ref="B34:B39"/>
    <mergeCell ref="C34:C39"/>
    <mergeCell ref="A40:A45"/>
    <mergeCell ref="B40:B45"/>
    <mergeCell ref="C40:C45"/>
    <mergeCell ref="A46:A51"/>
    <mergeCell ref="B46:B51"/>
    <mergeCell ref="C46:C51"/>
    <mergeCell ref="A52:A57"/>
    <mergeCell ref="B52:B57"/>
    <mergeCell ref="C52:C57"/>
    <mergeCell ref="A58:A63"/>
    <mergeCell ref="B58:B63"/>
    <mergeCell ref="C58:C63"/>
    <mergeCell ref="A76:A81"/>
    <mergeCell ref="B76:B81"/>
    <mergeCell ref="C76:C81"/>
    <mergeCell ref="A64:A69"/>
    <mergeCell ref="B64:B69"/>
    <mergeCell ref="C64:C69"/>
    <mergeCell ref="A70:A75"/>
    <mergeCell ref="B70:B75"/>
    <mergeCell ref="C70:C7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03"/>
  <sheetViews>
    <sheetView zoomScaleNormal="100" workbookViewId="0">
      <selection activeCell="K18" sqref="K18"/>
    </sheetView>
  </sheetViews>
  <sheetFormatPr defaultRowHeight="15.75"/>
  <cols>
    <col min="1" max="1" width="5.5703125" style="2" customWidth="1"/>
    <col min="2" max="2" width="13.28515625" style="2" customWidth="1"/>
    <col min="3" max="3" width="17.140625" style="2" customWidth="1"/>
    <col min="4" max="4" width="43.28515625" style="2" customWidth="1"/>
    <col min="5" max="5" width="15" style="3" customWidth="1"/>
    <col min="6" max="6" width="18.28515625" style="2" customWidth="1"/>
    <col min="7" max="7" width="15.28515625" style="2" customWidth="1"/>
    <col min="8" max="8" width="19.85546875" style="2" customWidth="1"/>
    <col min="9" max="9" width="16.5703125" style="2" bestFit="1" customWidth="1"/>
    <col min="10" max="10" width="22" style="2" bestFit="1" customWidth="1"/>
    <col min="11" max="11" width="13.140625" style="2" bestFit="1" customWidth="1"/>
    <col min="12" max="12" width="22" style="2" bestFit="1" customWidth="1"/>
    <col min="13" max="13" width="16.42578125" style="2" bestFit="1" customWidth="1"/>
    <col min="14" max="14" width="17.85546875" style="2" bestFit="1" customWidth="1"/>
    <col min="15" max="16384" width="9.140625" style="2"/>
  </cols>
  <sheetData>
    <row r="1" spans="1:12" s="1" customFormat="1" ht="18.75">
      <c r="A1" s="127" t="s">
        <v>0</v>
      </c>
      <c r="B1" s="127"/>
      <c r="C1" s="127"/>
      <c r="D1" s="127"/>
      <c r="E1" s="127"/>
      <c r="F1" s="127"/>
      <c r="G1" s="127"/>
      <c r="H1" s="127"/>
    </row>
    <row r="2" spans="1:12" ht="16.5" thickBot="1"/>
    <row r="3" spans="1:12" s="8" customFormat="1" ht="84" customHeight="1" thickBot="1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J3" s="128" t="s">
        <v>9</v>
      </c>
      <c r="K3" s="129"/>
      <c r="L3" s="129"/>
    </row>
    <row r="4" spans="1:12" ht="15.75" customHeight="1">
      <c r="A4" s="130">
        <v>1</v>
      </c>
      <c r="B4" s="133" t="s">
        <v>10</v>
      </c>
      <c r="C4" s="136" t="s">
        <v>11</v>
      </c>
      <c r="D4" s="9" t="s">
        <v>12</v>
      </c>
      <c r="E4" s="10" t="s">
        <v>13</v>
      </c>
      <c r="F4" s="11">
        <v>61.722999999999999</v>
      </c>
      <c r="G4" s="12">
        <v>54523.19</v>
      </c>
      <c r="H4" s="13">
        <f>F4*G4</f>
        <v>3365334.8563700002</v>
      </c>
    </row>
    <row r="5" spans="1:12" ht="15.75" customHeight="1">
      <c r="A5" s="131"/>
      <c r="B5" s="134"/>
      <c r="C5" s="137"/>
      <c r="D5" s="14" t="s">
        <v>14</v>
      </c>
      <c r="E5" s="15" t="s">
        <v>15</v>
      </c>
      <c r="F5" s="16">
        <v>10.058999999999999</v>
      </c>
      <c r="G5" s="17">
        <v>107.42</v>
      </c>
      <c r="H5" s="18">
        <f>F5*G5</f>
        <v>1080.5377799999999</v>
      </c>
    </row>
    <row r="6" spans="1:12" ht="20.25" customHeight="1">
      <c r="A6" s="131"/>
      <c r="B6" s="134"/>
      <c r="C6" s="137"/>
      <c r="D6" s="19" t="s">
        <v>16</v>
      </c>
      <c r="E6" s="20" t="s">
        <v>15</v>
      </c>
      <c r="F6" s="16">
        <f>4980.445+68.702+710.556</f>
        <v>5759.7029999999995</v>
      </c>
      <c r="G6" s="17">
        <v>107.42</v>
      </c>
      <c r="H6" s="18">
        <f>F6*G6</f>
        <v>618707.29625999997</v>
      </c>
      <c r="J6" s="21"/>
    </row>
    <row r="7" spans="1:12" ht="16.5" customHeight="1">
      <c r="A7" s="131"/>
      <c r="B7" s="134"/>
      <c r="C7" s="137"/>
      <c r="D7" s="19" t="s">
        <v>17</v>
      </c>
      <c r="E7" s="20" t="s">
        <v>15</v>
      </c>
      <c r="F7" s="16">
        <f>2580.542+3.453+19.592+26.258+11.322</f>
        <v>2641.1669999999999</v>
      </c>
      <c r="G7" s="17">
        <v>107.42</v>
      </c>
      <c r="H7" s="18">
        <f>F7*G7</f>
        <v>283714.15914</v>
      </c>
      <c r="J7" s="21"/>
    </row>
    <row r="8" spans="1:12">
      <c r="A8" s="131"/>
      <c r="B8" s="134"/>
      <c r="C8" s="137"/>
      <c r="D8" s="19" t="s">
        <v>18</v>
      </c>
      <c r="E8" s="20" t="s">
        <v>15</v>
      </c>
      <c r="F8" s="16">
        <v>1104.3240000000001</v>
      </c>
      <c r="G8" s="17">
        <v>107.42</v>
      </c>
      <c r="H8" s="18">
        <f>F8*G8</f>
        <v>118626.48408000001</v>
      </c>
    </row>
    <row r="9" spans="1:12">
      <c r="A9" s="131"/>
      <c r="B9" s="134"/>
      <c r="C9" s="137"/>
      <c r="D9" s="22" t="s">
        <v>19</v>
      </c>
      <c r="E9" s="23"/>
      <c r="F9" s="24">
        <f>F4</f>
        <v>61.722999999999999</v>
      </c>
      <c r="G9" s="25"/>
      <c r="H9" s="26">
        <f>H4</f>
        <v>3365334.8563700002</v>
      </c>
      <c r="J9" s="27"/>
    </row>
    <row r="10" spans="1:12" ht="16.5" thickBot="1">
      <c r="A10" s="132"/>
      <c r="B10" s="135"/>
      <c r="C10" s="138"/>
      <c r="D10" s="28" t="s">
        <v>20</v>
      </c>
      <c r="E10" s="29"/>
      <c r="F10" s="30">
        <f>F6+F7+F8+F5</f>
        <v>9515.2529999999988</v>
      </c>
      <c r="G10" s="31"/>
      <c r="H10" s="32">
        <f>H6+H7+H8+H5</f>
        <v>1022128.47726</v>
      </c>
      <c r="J10" s="21"/>
    </row>
    <row r="11" spans="1:12" ht="16.5" customHeight="1">
      <c r="A11" s="116">
        <v>2</v>
      </c>
      <c r="B11" s="125" t="s">
        <v>21</v>
      </c>
      <c r="C11" s="122" t="s">
        <v>11</v>
      </c>
      <c r="D11" s="33" t="s">
        <v>12</v>
      </c>
      <c r="E11" s="34" t="s">
        <v>13</v>
      </c>
      <c r="F11" s="11">
        <v>61.722999999999999</v>
      </c>
      <c r="G11" s="12">
        <v>54523.19</v>
      </c>
      <c r="H11" s="13">
        <f>F11*G11</f>
        <v>3365334.8563700002</v>
      </c>
      <c r="K11" s="27"/>
    </row>
    <row r="12" spans="1:12" ht="16.5" customHeight="1">
      <c r="A12" s="116"/>
      <c r="B12" s="125"/>
      <c r="C12" s="122"/>
      <c r="D12" s="14" t="s">
        <v>14</v>
      </c>
      <c r="E12" s="15" t="s">
        <v>15</v>
      </c>
      <c r="F12" s="16">
        <v>4.3179999999999996</v>
      </c>
      <c r="G12" s="17">
        <v>107.42</v>
      </c>
      <c r="H12" s="18">
        <f>F12*G12</f>
        <v>463.83955999999995</v>
      </c>
      <c r="K12" s="27"/>
    </row>
    <row r="13" spans="1:12" ht="21.75" customHeight="1">
      <c r="A13" s="116"/>
      <c r="B13" s="125"/>
      <c r="C13" s="122"/>
      <c r="D13" s="14" t="s">
        <v>16</v>
      </c>
      <c r="E13" s="15" t="s">
        <v>15</v>
      </c>
      <c r="F13" s="16">
        <f>4140.4+159.862+656.677</f>
        <v>4956.9389999999994</v>
      </c>
      <c r="G13" s="17">
        <v>107.42</v>
      </c>
      <c r="H13" s="18">
        <f>F13*G13</f>
        <v>532474.38737999997</v>
      </c>
    </row>
    <row r="14" spans="1:12" ht="21.75" customHeight="1">
      <c r="A14" s="116"/>
      <c r="B14" s="125"/>
      <c r="C14" s="122"/>
      <c r="D14" s="14" t="s">
        <v>17</v>
      </c>
      <c r="E14" s="15" t="s">
        <v>15</v>
      </c>
      <c r="F14" s="16">
        <f>2445.899+14.382+38.141+22.176+11.161</f>
        <v>2531.759</v>
      </c>
      <c r="G14" s="17">
        <v>107.42</v>
      </c>
      <c r="H14" s="18">
        <f>F14*G14</f>
        <v>271961.55177999998</v>
      </c>
    </row>
    <row r="15" spans="1:12">
      <c r="A15" s="116"/>
      <c r="B15" s="125"/>
      <c r="C15" s="122"/>
      <c r="D15" s="14" t="s">
        <v>18</v>
      </c>
      <c r="E15" s="15" t="s">
        <v>15</v>
      </c>
      <c r="F15" s="16">
        <v>955.404</v>
      </c>
      <c r="G15" s="17">
        <v>107.42</v>
      </c>
      <c r="H15" s="18">
        <f>F15*G15</f>
        <v>102629.49768</v>
      </c>
    </row>
    <row r="16" spans="1:12">
      <c r="A16" s="116"/>
      <c r="B16" s="125"/>
      <c r="C16" s="122"/>
      <c r="D16" s="35" t="s">
        <v>19</v>
      </c>
      <c r="E16" s="36"/>
      <c r="F16" s="24">
        <f>F11</f>
        <v>61.722999999999999</v>
      </c>
      <c r="G16" s="25"/>
      <c r="H16" s="26">
        <f>H11</f>
        <v>3365334.8563700002</v>
      </c>
    </row>
    <row r="17" spans="1:10" ht="16.5" thickBot="1">
      <c r="A17" s="116"/>
      <c r="B17" s="126"/>
      <c r="C17" s="123"/>
      <c r="D17" s="37" t="s">
        <v>20</v>
      </c>
      <c r="E17" s="38"/>
      <c r="F17" s="30">
        <f>F13+F14+F15+F12</f>
        <v>8448.4199999999983</v>
      </c>
      <c r="G17" s="31"/>
      <c r="H17" s="32">
        <f>H13+H14+H15+H12</f>
        <v>907529.27639999997</v>
      </c>
      <c r="J17" s="21"/>
    </row>
    <row r="18" spans="1:10" ht="15.75" customHeight="1">
      <c r="A18" s="115">
        <v>3</v>
      </c>
      <c r="B18" s="124" t="s">
        <v>22</v>
      </c>
      <c r="C18" s="121" t="s">
        <v>11</v>
      </c>
      <c r="D18" s="39" t="s">
        <v>12</v>
      </c>
      <c r="E18" s="40" t="s">
        <v>13</v>
      </c>
      <c r="F18" s="11">
        <v>61.722999999999999</v>
      </c>
      <c r="G18" s="12">
        <v>54523.19</v>
      </c>
      <c r="H18" s="13">
        <f>F18*G18</f>
        <v>3365334.8563700002</v>
      </c>
    </row>
    <row r="19" spans="1:10">
      <c r="A19" s="116"/>
      <c r="B19" s="125"/>
      <c r="C19" s="122"/>
      <c r="D19" s="14" t="s">
        <v>14</v>
      </c>
      <c r="E19" s="15" t="s">
        <v>15</v>
      </c>
      <c r="F19" s="16">
        <v>0.06</v>
      </c>
      <c r="G19" s="17">
        <v>107.42</v>
      </c>
      <c r="H19" s="18">
        <f>F19*G19</f>
        <v>6.4451999999999998</v>
      </c>
    </row>
    <row r="20" spans="1:10" ht="25.5">
      <c r="A20" s="116"/>
      <c r="B20" s="125"/>
      <c r="C20" s="122"/>
      <c r="D20" s="14" t="s">
        <v>16</v>
      </c>
      <c r="E20" s="15" t="s">
        <v>15</v>
      </c>
      <c r="F20" s="16">
        <f>3773.939+93.408+727.131</f>
        <v>4594.4780000000001</v>
      </c>
      <c r="G20" s="17">
        <v>107.42</v>
      </c>
      <c r="H20" s="18">
        <f>F20*G20</f>
        <v>493538.82676000003</v>
      </c>
      <c r="J20" s="27"/>
    </row>
    <row r="21" spans="1:10" ht="25.5">
      <c r="A21" s="116"/>
      <c r="B21" s="125"/>
      <c r="C21" s="122"/>
      <c r="D21" s="14" t="s">
        <v>17</v>
      </c>
      <c r="E21" s="15" t="s">
        <v>15</v>
      </c>
      <c r="F21" s="16">
        <f>2459.248+6.556+1.096+7.655+7.459</f>
        <v>2482.0140000000001</v>
      </c>
      <c r="G21" s="17">
        <v>107.42</v>
      </c>
      <c r="H21" s="18">
        <f>F21*G21</f>
        <v>266617.94388000004</v>
      </c>
    </row>
    <row r="22" spans="1:10">
      <c r="A22" s="116"/>
      <c r="B22" s="125"/>
      <c r="C22" s="122"/>
      <c r="D22" s="14" t="s">
        <v>18</v>
      </c>
      <c r="E22" s="15" t="s">
        <v>15</v>
      </c>
      <c r="F22" s="16">
        <v>1001.9640000000001</v>
      </c>
      <c r="G22" s="17">
        <v>107.42</v>
      </c>
      <c r="H22" s="18">
        <f>F22*G22</f>
        <v>107630.97288</v>
      </c>
      <c r="J22" s="27"/>
    </row>
    <row r="23" spans="1:10">
      <c r="A23" s="116"/>
      <c r="B23" s="125"/>
      <c r="C23" s="122"/>
      <c r="D23" s="35" t="s">
        <v>19</v>
      </c>
      <c r="E23" s="36"/>
      <c r="F23" s="24">
        <f>F18</f>
        <v>61.722999999999999</v>
      </c>
      <c r="G23" s="25"/>
      <c r="H23" s="26">
        <f>H18</f>
        <v>3365334.8563700002</v>
      </c>
    </row>
    <row r="24" spans="1:10" ht="16.5" thickBot="1">
      <c r="A24" s="117"/>
      <c r="B24" s="126"/>
      <c r="C24" s="123"/>
      <c r="D24" s="37" t="s">
        <v>20</v>
      </c>
      <c r="E24" s="38"/>
      <c r="F24" s="30">
        <f>F20+F21+F22+F19</f>
        <v>8078.5160000000005</v>
      </c>
      <c r="G24" s="31"/>
      <c r="H24" s="32">
        <f>H20+H21+H22+H19</f>
        <v>867794.18871999998</v>
      </c>
      <c r="J24" s="21"/>
    </row>
    <row r="25" spans="1:10" ht="15.75" customHeight="1">
      <c r="A25" s="115">
        <v>4</v>
      </c>
      <c r="B25" s="124" t="s">
        <v>23</v>
      </c>
      <c r="C25" s="121" t="s">
        <v>11</v>
      </c>
      <c r="D25" s="39" t="s">
        <v>12</v>
      </c>
      <c r="E25" s="40" t="s">
        <v>13</v>
      </c>
      <c r="F25" s="11">
        <v>61.722999999999999</v>
      </c>
      <c r="G25" s="12">
        <v>54523.19</v>
      </c>
      <c r="H25" s="13">
        <f>F25*G25</f>
        <v>3365334.8563700002</v>
      </c>
    </row>
    <row r="26" spans="1:10">
      <c r="A26" s="116"/>
      <c r="B26" s="125"/>
      <c r="C26" s="122"/>
      <c r="D26" s="14" t="s">
        <v>14</v>
      </c>
      <c r="E26" s="15" t="s">
        <v>15</v>
      </c>
      <c r="F26" s="16">
        <v>54.854999999999997</v>
      </c>
      <c r="G26" s="17">
        <v>107.42</v>
      </c>
      <c r="H26" s="18">
        <f>F26*G26</f>
        <v>5892.5240999999996</v>
      </c>
    </row>
    <row r="27" spans="1:10" ht="23.25" customHeight="1">
      <c r="A27" s="116"/>
      <c r="B27" s="125"/>
      <c r="C27" s="122"/>
      <c r="D27" s="14" t="s">
        <v>16</v>
      </c>
      <c r="E27" s="15" t="s">
        <v>15</v>
      </c>
      <c r="F27" s="16">
        <f>3545.151+119.449+685.825</f>
        <v>4350.4250000000002</v>
      </c>
      <c r="G27" s="17">
        <v>107.42</v>
      </c>
      <c r="H27" s="18">
        <f>F27*G27</f>
        <v>467322.65350000001</v>
      </c>
    </row>
    <row r="28" spans="1:10" ht="25.5">
      <c r="A28" s="116"/>
      <c r="B28" s="125"/>
      <c r="C28" s="122"/>
      <c r="D28" s="14" t="s">
        <v>17</v>
      </c>
      <c r="E28" s="15" t="s">
        <v>15</v>
      </c>
      <c r="F28" s="16">
        <f>2211.401+3.82+12.282+7.392+6.809</f>
        <v>2241.7040000000002</v>
      </c>
      <c r="G28" s="17">
        <v>107.42</v>
      </c>
      <c r="H28" s="18">
        <f>F28*G28</f>
        <v>240803.84368000002</v>
      </c>
    </row>
    <row r="29" spans="1:10">
      <c r="A29" s="116"/>
      <c r="B29" s="125"/>
      <c r="C29" s="122"/>
      <c r="D29" s="14" t="s">
        <v>18</v>
      </c>
      <c r="E29" s="15" t="s">
        <v>15</v>
      </c>
      <c r="F29" s="16">
        <v>916.21500000000003</v>
      </c>
      <c r="G29" s="17">
        <v>107.42</v>
      </c>
      <c r="H29" s="18">
        <f>F29*G29</f>
        <v>98419.815300000002</v>
      </c>
    </row>
    <row r="30" spans="1:10">
      <c r="A30" s="116"/>
      <c r="B30" s="125"/>
      <c r="C30" s="122"/>
      <c r="D30" s="35" t="s">
        <v>19</v>
      </c>
      <c r="E30" s="36"/>
      <c r="F30" s="24">
        <f>F25</f>
        <v>61.722999999999999</v>
      </c>
      <c r="G30" s="25"/>
      <c r="H30" s="26">
        <f>H25</f>
        <v>3365334.8563700002</v>
      </c>
    </row>
    <row r="31" spans="1:10" ht="16.5" thickBot="1">
      <c r="A31" s="117"/>
      <c r="B31" s="126"/>
      <c r="C31" s="123"/>
      <c r="D31" s="37" t="s">
        <v>20</v>
      </c>
      <c r="E31" s="38"/>
      <c r="F31" s="30">
        <f>F27+F28+F29+F26</f>
        <v>7563.1990000000005</v>
      </c>
      <c r="G31" s="31"/>
      <c r="H31" s="32">
        <f>H27+H28+H29+H26</f>
        <v>812438.83658000012</v>
      </c>
      <c r="J31" s="21"/>
    </row>
    <row r="32" spans="1:10" s="41" customFormat="1" ht="15.75" customHeight="1">
      <c r="A32" s="115">
        <v>5</v>
      </c>
      <c r="B32" s="124" t="s">
        <v>24</v>
      </c>
      <c r="C32" s="121" t="s">
        <v>11</v>
      </c>
      <c r="D32" s="39" t="s">
        <v>12</v>
      </c>
      <c r="E32" s="40" t="s">
        <v>13</v>
      </c>
      <c r="F32" s="11">
        <v>61.722999999999999</v>
      </c>
      <c r="G32" s="12">
        <v>54523.19</v>
      </c>
      <c r="H32" s="13">
        <f>F32*G32</f>
        <v>3365334.8563700002</v>
      </c>
    </row>
    <row r="33" spans="1:10" s="41" customFormat="1">
      <c r="A33" s="116"/>
      <c r="B33" s="125"/>
      <c r="C33" s="122"/>
      <c r="D33" s="14" t="s">
        <v>14</v>
      </c>
      <c r="E33" s="15" t="s">
        <v>15</v>
      </c>
      <c r="F33" s="16">
        <v>0.20100000000000001</v>
      </c>
      <c r="G33" s="17">
        <v>107.42</v>
      </c>
      <c r="H33" s="18">
        <f>F33*G33</f>
        <v>21.591420000000003</v>
      </c>
    </row>
    <row r="34" spans="1:10" s="41" customFormat="1" ht="25.5">
      <c r="A34" s="116"/>
      <c r="B34" s="125"/>
      <c r="C34" s="122"/>
      <c r="D34" s="14" t="s">
        <v>16</v>
      </c>
      <c r="E34" s="15" t="s">
        <v>15</v>
      </c>
      <c r="F34" s="16">
        <f>3268.497+104.859+772.835</f>
        <v>4146.1909999999998</v>
      </c>
      <c r="G34" s="17">
        <v>107.42</v>
      </c>
      <c r="H34" s="18">
        <f>F34*G34</f>
        <v>445383.83721999999</v>
      </c>
    </row>
    <row r="35" spans="1:10" s="41" customFormat="1" ht="25.5">
      <c r="A35" s="116"/>
      <c r="B35" s="125"/>
      <c r="C35" s="122"/>
      <c r="D35" s="14" t="s">
        <v>17</v>
      </c>
      <c r="E35" s="15" t="s">
        <v>15</v>
      </c>
      <c r="F35" s="16">
        <f>2328.582+2.535+62.378+8.947+5.857</f>
        <v>2408.299</v>
      </c>
      <c r="G35" s="17">
        <v>107.42</v>
      </c>
      <c r="H35" s="18">
        <f>F35*G35</f>
        <v>258699.47858</v>
      </c>
    </row>
    <row r="36" spans="1:10" s="41" customFormat="1" ht="19.5" customHeight="1">
      <c r="A36" s="116"/>
      <c r="B36" s="125"/>
      <c r="C36" s="122"/>
      <c r="D36" s="14" t="s">
        <v>18</v>
      </c>
      <c r="E36" s="15" t="s">
        <v>15</v>
      </c>
      <c r="F36" s="16">
        <v>980.98699999999997</v>
      </c>
      <c r="G36" s="17">
        <v>107.42</v>
      </c>
      <c r="H36" s="18">
        <f>F36*G36</f>
        <v>105377.62354</v>
      </c>
    </row>
    <row r="37" spans="1:10" s="41" customFormat="1">
      <c r="A37" s="116"/>
      <c r="B37" s="125"/>
      <c r="C37" s="122"/>
      <c r="D37" s="35" t="s">
        <v>19</v>
      </c>
      <c r="E37" s="36"/>
      <c r="F37" s="24">
        <f>F32</f>
        <v>61.722999999999999</v>
      </c>
      <c r="G37" s="25"/>
      <c r="H37" s="26">
        <f>H32</f>
        <v>3365334.8563700002</v>
      </c>
      <c r="J37" s="42"/>
    </row>
    <row r="38" spans="1:10" s="41" customFormat="1" ht="16.5" thickBot="1">
      <c r="A38" s="117"/>
      <c r="B38" s="126"/>
      <c r="C38" s="123"/>
      <c r="D38" s="37" t="s">
        <v>20</v>
      </c>
      <c r="E38" s="38"/>
      <c r="F38" s="30">
        <f>F34+F35+F36+F33</f>
        <v>7535.6779999999999</v>
      </c>
      <c r="G38" s="31"/>
      <c r="H38" s="32">
        <f>H34+H35+H36+H33</f>
        <v>809482.53075999999</v>
      </c>
      <c r="J38" s="21"/>
    </row>
    <row r="39" spans="1:10" s="41" customFormat="1" ht="15.75" customHeight="1">
      <c r="A39" s="115">
        <v>6</v>
      </c>
      <c r="B39" s="118" t="s">
        <v>25</v>
      </c>
      <c r="C39" s="121" t="s">
        <v>11</v>
      </c>
      <c r="D39" s="39" t="s">
        <v>12</v>
      </c>
      <c r="E39" s="40" t="s">
        <v>13</v>
      </c>
      <c r="F39" s="11">
        <v>61.722999999999999</v>
      </c>
      <c r="G39" s="12">
        <v>54523.19</v>
      </c>
      <c r="H39" s="13">
        <f>F39*G39</f>
        <v>3365334.8563700002</v>
      </c>
    </row>
    <row r="40" spans="1:10" s="41" customFormat="1">
      <c r="A40" s="116"/>
      <c r="B40" s="119"/>
      <c r="C40" s="122"/>
      <c r="D40" s="14" t="s">
        <v>14</v>
      </c>
      <c r="E40" s="15" t="s">
        <v>15</v>
      </c>
      <c r="F40" s="16">
        <v>23.555</v>
      </c>
      <c r="G40" s="17">
        <v>107.42</v>
      </c>
      <c r="H40" s="18">
        <f>F40*G40</f>
        <v>2530.2781</v>
      </c>
    </row>
    <row r="41" spans="1:10" s="41" customFormat="1" ht="25.5">
      <c r="A41" s="116"/>
      <c r="B41" s="119"/>
      <c r="C41" s="122"/>
      <c r="D41" s="14" t="s">
        <v>16</v>
      </c>
      <c r="E41" s="15" t="s">
        <v>15</v>
      </c>
      <c r="F41" s="16">
        <f>3865.797+118.25+17.548</f>
        <v>4001.5949999999998</v>
      </c>
      <c r="G41" s="17">
        <v>107.42</v>
      </c>
      <c r="H41" s="18">
        <f>F41*G41</f>
        <v>429851.33489999996</v>
      </c>
    </row>
    <row r="42" spans="1:10" s="41" customFormat="1" ht="25.5">
      <c r="A42" s="116"/>
      <c r="B42" s="119"/>
      <c r="C42" s="122"/>
      <c r="D42" s="14" t="s">
        <v>17</v>
      </c>
      <c r="E42" s="15" t="s">
        <v>15</v>
      </c>
      <c r="F42" s="16">
        <f>2573.031+8.107+8.04+15.42+5.372</f>
        <v>2609.9699999999998</v>
      </c>
      <c r="G42" s="17">
        <v>107.42</v>
      </c>
      <c r="H42" s="18">
        <f>F42*G42</f>
        <v>280362.97739999997</v>
      </c>
    </row>
    <row r="43" spans="1:10" s="41" customFormat="1">
      <c r="A43" s="116"/>
      <c r="B43" s="119"/>
      <c r="C43" s="122"/>
      <c r="D43" s="14" t="s">
        <v>18</v>
      </c>
      <c r="E43" s="15" t="s">
        <v>15</v>
      </c>
      <c r="F43" s="16">
        <v>1056.9259999999999</v>
      </c>
      <c r="G43" s="17">
        <v>107.42</v>
      </c>
      <c r="H43" s="18">
        <f>F43*G43</f>
        <v>113534.99092</v>
      </c>
    </row>
    <row r="44" spans="1:10" s="41" customFormat="1">
      <c r="A44" s="116"/>
      <c r="B44" s="119"/>
      <c r="C44" s="122"/>
      <c r="D44" s="35" t="s">
        <v>19</v>
      </c>
      <c r="E44" s="36"/>
      <c r="F44" s="24">
        <f>F39</f>
        <v>61.722999999999999</v>
      </c>
      <c r="G44" s="25"/>
      <c r="H44" s="26">
        <f>H39</f>
        <v>3365334.8563700002</v>
      </c>
      <c r="J44" s="42"/>
    </row>
    <row r="45" spans="1:10" s="41" customFormat="1" ht="16.5" thickBot="1">
      <c r="A45" s="117"/>
      <c r="B45" s="120"/>
      <c r="C45" s="123"/>
      <c r="D45" s="37" t="s">
        <v>20</v>
      </c>
      <c r="E45" s="38"/>
      <c r="F45" s="30">
        <f>F41+F42+F43+F40</f>
        <v>7692.0460000000003</v>
      </c>
      <c r="G45" s="31"/>
      <c r="H45" s="32">
        <f>H41+H42+H43+H40</f>
        <v>826279.58131999988</v>
      </c>
      <c r="J45" s="27"/>
    </row>
    <row r="46" spans="1:10" s="41" customFormat="1" ht="15.75" customHeight="1">
      <c r="A46" s="115">
        <v>7</v>
      </c>
      <c r="B46" s="118" t="s">
        <v>26</v>
      </c>
      <c r="C46" s="121" t="s">
        <v>11</v>
      </c>
      <c r="D46" s="39" t="s">
        <v>12</v>
      </c>
      <c r="E46" s="40" t="s">
        <v>13</v>
      </c>
      <c r="F46" s="11">
        <v>61.722999999999999</v>
      </c>
      <c r="G46" s="12">
        <v>54523.19</v>
      </c>
      <c r="H46" s="13">
        <f>F46*G46</f>
        <v>3365334.8563700002</v>
      </c>
    </row>
    <row r="47" spans="1:10" s="41" customFormat="1">
      <c r="A47" s="116"/>
      <c r="B47" s="119"/>
      <c r="C47" s="122"/>
      <c r="D47" s="14" t="s">
        <v>14</v>
      </c>
      <c r="E47" s="15" t="s">
        <v>15</v>
      </c>
      <c r="F47" s="16">
        <v>78.644999999999996</v>
      </c>
      <c r="G47" s="17">
        <v>107.42</v>
      </c>
      <c r="H47" s="18">
        <f>F47*G47</f>
        <v>8448.0458999999992</v>
      </c>
    </row>
    <row r="48" spans="1:10" s="41" customFormat="1" ht="25.5">
      <c r="A48" s="116"/>
      <c r="B48" s="119"/>
      <c r="C48" s="122"/>
      <c r="D48" s="14" t="s">
        <v>16</v>
      </c>
      <c r="E48" s="15" t="s">
        <v>15</v>
      </c>
      <c r="F48" s="16">
        <f>4544.47+209.118+19.272</f>
        <v>4772.8600000000006</v>
      </c>
      <c r="G48" s="17">
        <v>107.42</v>
      </c>
      <c r="H48" s="18">
        <f>F48*G48</f>
        <v>512700.62120000005</v>
      </c>
    </row>
    <row r="49" spans="1:10" s="41" customFormat="1" ht="25.5">
      <c r="A49" s="116"/>
      <c r="B49" s="119"/>
      <c r="C49" s="122"/>
      <c r="D49" s="14" t="s">
        <v>17</v>
      </c>
      <c r="E49" s="15" t="s">
        <v>15</v>
      </c>
      <c r="F49" s="16">
        <f>3162.112+8.138+16.064+6.958</f>
        <v>3193.2719999999999</v>
      </c>
      <c r="G49" s="17">
        <v>107.42</v>
      </c>
      <c r="H49" s="18">
        <f>F49*G49</f>
        <v>343021.27824000001</v>
      </c>
    </row>
    <row r="50" spans="1:10" s="41" customFormat="1">
      <c r="A50" s="116"/>
      <c r="B50" s="119"/>
      <c r="C50" s="122"/>
      <c r="D50" s="14" t="s">
        <v>18</v>
      </c>
      <c r="E50" s="15" t="s">
        <v>15</v>
      </c>
      <c r="F50" s="16">
        <v>1241.175</v>
      </c>
      <c r="G50" s="17">
        <v>107.42</v>
      </c>
      <c r="H50" s="18">
        <f>F50*G50</f>
        <v>133327.01850000001</v>
      </c>
    </row>
    <row r="51" spans="1:10" s="41" customFormat="1">
      <c r="A51" s="116"/>
      <c r="B51" s="119"/>
      <c r="C51" s="122"/>
      <c r="D51" s="35" t="s">
        <v>19</v>
      </c>
      <c r="E51" s="36"/>
      <c r="F51" s="24">
        <f>F46</f>
        <v>61.722999999999999</v>
      </c>
      <c r="G51" s="25"/>
      <c r="H51" s="26">
        <f>H46</f>
        <v>3365334.8563700002</v>
      </c>
    </row>
    <row r="52" spans="1:10" s="41" customFormat="1" ht="16.5" thickBot="1">
      <c r="A52" s="117"/>
      <c r="B52" s="120"/>
      <c r="C52" s="123"/>
      <c r="D52" s="37" t="s">
        <v>20</v>
      </c>
      <c r="E52" s="38"/>
      <c r="F52" s="30">
        <f>F48+F49+F50+F47</f>
        <v>9285.9520000000011</v>
      </c>
      <c r="G52" s="31"/>
      <c r="H52" s="32">
        <f>H48+H49+H50+H47</f>
        <v>997496.9638400001</v>
      </c>
      <c r="J52" s="21"/>
    </row>
    <row r="53" spans="1:10" s="41" customFormat="1" ht="15.75" customHeight="1">
      <c r="A53" s="115">
        <v>8</v>
      </c>
      <c r="B53" s="118" t="s">
        <v>27</v>
      </c>
      <c r="C53" s="121" t="s">
        <v>11</v>
      </c>
      <c r="D53" s="39" t="s">
        <v>12</v>
      </c>
      <c r="E53" s="40" t="s">
        <v>13</v>
      </c>
      <c r="F53" s="11">
        <v>61.722999999999999</v>
      </c>
      <c r="G53" s="12">
        <v>54523.19</v>
      </c>
      <c r="H53" s="13">
        <f>F53*G53</f>
        <v>3365334.8563700002</v>
      </c>
    </row>
    <row r="54" spans="1:10" s="41" customFormat="1">
      <c r="A54" s="116"/>
      <c r="B54" s="119"/>
      <c r="C54" s="122"/>
      <c r="D54" s="14" t="s">
        <v>14</v>
      </c>
      <c r="E54" s="15" t="s">
        <v>15</v>
      </c>
      <c r="F54" s="16">
        <v>43.679000000000002</v>
      </c>
      <c r="G54" s="17">
        <v>107.42</v>
      </c>
      <c r="H54" s="18">
        <f>F54*G54</f>
        <v>4691.9981800000005</v>
      </c>
    </row>
    <row r="55" spans="1:10" s="41" customFormat="1" ht="25.5">
      <c r="A55" s="116"/>
      <c r="B55" s="119"/>
      <c r="C55" s="122"/>
      <c r="D55" s="14" t="s">
        <v>16</v>
      </c>
      <c r="E55" s="15" t="s">
        <v>15</v>
      </c>
      <c r="F55" s="16">
        <f>5453.25+141.27+19.68</f>
        <v>5614.2000000000007</v>
      </c>
      <c r="G55" s="17">
        <v>107.42</v>
      </c>
      <c r="H55" s="18">
        <f>F55*G55</f>
        <v>603077.36400000006</v>
      </c>
    </row>
    <row r="56" spans="1:10" s="41" customFormat="1" ht="25.5">
      <c r="A56" s="116"/>
      <c r="B56" s="119"/>
      <c r="C56" s="122"/>
      <c r="D56" s="14" t="s">
        <v>17</v>
      </c>
      <c r="E56" s="15" t="s">
        <v>15</v>
      </c>
      <c r="F56" s="16">
        <f>3564.782+7.342+43.565+12.151+1.937</f>
        <v>3629.777</v>
      </c>
      <c r="G56" s="17">
        <v>107.42</v>
      </c>
      <c r="H56" s="18">
        <f>F56*G56</f>
        <v>389910.64533999999</v>
      </c>
    </row>
    <row r="57" spans="1:10" s="41" customFormat="1">
      <c r="A57" s="116"/>
      <c r="B57" s="119"/>
      <c r="C57" s="122"/>
      <c r="D57" s="14" t="s">
        <v>18</v>
      </c>
      <c r="E57" s="15" t="s">
        <v>15</v>
      </c>
      <c r="F57" s="16">
        <v>1757.615</v>
      </c>
      <c r="G57" s="17">
        <v>107.42</v>
      </c>
      <c r="H57" s="18">
        <f>F57*G57</f>
        <v>188803.00330000001</v>
      </c>
    </row>
    <row r="58" spans="1:10" s="41" customFormat="1">
      <c r="A58" s="116"/>
      <c r="B58" s="119"/>
      <c r="C58" s="122"/>
      <c r="D58" s="35" t="s">
        <v>19</v>
      </c>
      <c r="E58" s="36"/>
      <c r="F58" s="24">
        <f>F53</f>
        <v>61.722999999999999</v>
      </c>
      <c r="G58" s="25"/>
      <c r="H58" s="26">
        <f>H53</f>
        <v>3365334.8563700002</v>
      </c>
    </row>
    <row r="59" spans="1:10" s="41" customFormat="1" ht="16.5" thickBot="1">
      <c r="A59" s="117"/>
      <c r="B59" s="120"/>
      <c r="C59" s="123"/>
      <c r="D59" s="37" t="s">
        <v>20</v>
      </c>
      <c r="E59" s="38"/>
      <c r="F59" s="30">
        <f>F55+F56+F57+F54</f>
        <v>11045.271000000001</v>
      </c>
      <c r="G59" s="31"/>
      <c r="H59" s="32">
        <f>H55+H56+H57+H54</f>
        <v>1186483.0108200002</v>
      </c>
    </row>
    <row r="60" spans="1:10" s="41" customFormat="1" ht="16.5" customHeight="1">
      <c r="A60" s="115">
        <v>9</v>
      </c>
      <c r="B60" s="118" t="s">
        <v>28</v>
      </c>
      <c r="C60" s="121" t="s">
        <v>11</v>
      </c>
      <c r="D60" s="39" t="s">
        <v>12</v>
      </c>
      <c r="E60" s="40" t="s">
        <v>13</v>
      </c>
      <c r="F60" s="11">
        <v>61.722999999999999</v>
      </c>
      <c r="G60" s="12">
        <v>54523.19</v>
      </c>
      <c r="H60" s="13">
        <f>F60*G60</f>
        <v>3365334.8563700002</v>
      </c>
    </row>
    <row r="61" spans="1:10" s="41" customFormat="1" ht="16.5" customHeight="1">
      <c r="A61" s="116"/>
      <c r="B61" s="119"/>
      <c r="C61" s="122"/>
      <c r="D61" s="14" t="s">
        <v>14</v>
      </c>
      <c r="E61" s="15" t="s">
        <v>15</v>
      </c>
      <c r="F61" s="16">
        <v>48.5</v>
      </c>
      <c r="G61" s="17">
        <v>107.42</v>
      </c>
      <c r="H61" s="18">
        <f>F61*G61</f>
        <v>5209.87</v>
      </c>
    </row>
    <row r="62" spans="1:10" s="41" customFormat="1" ht="25.5">
      <c r="A62" s="116"/>
      <c r="B62" s="119"/>
      <c r="C62" s="122"/>
      <c r="D62" s="14" t="s">
        <v>16</v>
      </c>
      <c r="E62" s="15" t="s">
        <v>15</v>
      </c>
      <c r="F62" s="16">
        <f>3279.423+9.403+14.735</f>
        <v>3303.5609999999997</v>
      </c>
      <c r="G62" s="17">
        <v>107.42</v>
      </c>
      <c r="H62" s="18">
        <f>F62*G62</f>
        <v>354868.52261999995</v>
      </c>
    </row>
    <row r="63" spans="1:10" s="41" customFormat="1" ht="25.5">
      <c r="A63" s="116"/>
      <c r="B63" s="119"/>
      <c r="C63" s="122"/>
      <c r="D63" s="14" t="s">
        <v>17</v>
      </c>
      <c r="E63" s="15" t="s">
        <v>15</v>
      </c>
      <c r="F63" s="16">
        <f>2561.041+5.896+15.948+1.878</f>
        <v>2584.7630000000004</v>
      </c>
      <c r="G63" s="17">
        <v>107.42</v>
      </c>
      <c r="H63" s="18">
        <f>F63*G63</f>
        <v>277655.24146000005</v>
      </c>
    </row>
    <row r="64" spans="1:10" s="41" customFormat="1">
      <c r="A64" s="116"/>
      <c r="B64" s="119"/>
      <c r="C64" s="122"/>
      <c r="D64" s="14" t="s">
        <v>18</v>
      </c>
      <c r="E64" s="15" t="s">
        <v>15</v>
      </c>
      <c r="F64" s="16">
        <v>1254.7349999999999</v>
      </c>
      <c r="G64" s="17">
        <v>107.42</v>
      </c>
      <c r="H64" s="18">
        <f>F64*G64</f>
        <v>134783.63370000001</v>
      </c>
    </row>
    <row r="65" spans="1:8" s="41" customFormat="1">
      <c r="A65" s="116"/>
      <c r="B65" s="119"/>
      <c r="C65" s="122"/>
      <c r="D65" s="35" t="s">
        <v>19</v>
      </c>
      <c r="E65" s="36"/>
      <c r="F65" s="24">
        <f>F60</f>
        <v>61.722999999999999</v>
      </c>
      <c r="G65" s="25"/>
      <c r="H65" s="26">
        <f>H60</f>
        <v>3365334.8563700002</v>
      </c>
    </row>
    <row r="66" spans="1:8" s="41" customFormat="1" ht="16.5" thickBot="1">
      <c r="A66" s="117"/>
      <c r="B66" s="120"/>
      <c r="C66" s="123"/>
      <c r="D66" s="37" t="s">
        <v>20</v>
      </c>
      <c r="E66" s="38"/>
      <c r="F66" s="30">
        <f>F62+F63+F64+F61</f>
        <v>7191.5590000000002</v>
      </c>
      <c r="G66" s="31"/>
      <c r="H66" s="32">
        <f>H62+H63+H64+H61</f>
        <v>772517.26777999999</v>
      </c>
    </row>
    <row r="67" spans="1:8" s="41" customFormat="1" ht="16.5" customHeight="1">
      <c r="A67" s="115">
        <v>10</v>
      </c>
      <c r="B67" s="118" t="s">
        <v>29</v>
      </c>
      <c r="C67" s="121" t="s">
        <v>11</v>
      </c>
      <c r="D67" s="39" t="s">
        <v>12</v>
      </c>
      <c r="E67" s="40" t="s">
        <v>13</v>
      </c>
      <c r="F67" s="11">
        <v>61.722999999999999</v>
      </c>
      <c r="G67" s="12">
        <v>54523.19</v>
      </c>
      <c r="H67" s="13">
        <f>F67*G67</f>
        <v>3365334.8563700002</v>
      </c>
    </row>
    <row r="68" spans="1:8" s="41" customFormat="1" ht="16.5" customHeight="1">
      <c r="A68" s="116"/>
      <c r="B68" s="119"/>
      <c r="C68" s="122"/>
      <c r="D68" s="14" t="s">
        <v>14</v>
      </c>
      <c r="E68" s="15" t="s">
        <v>15</v>
      </c>
      <c r="F68" s="16">
        <v>5.3419999999999996</v>
      </c>
      <c r="G68" s="17">
        <v>107.42</v>
      </c>
      <c r="H68" s="18">
        <f>F68*G68</f>
        <v>573.83763999999996</v>
      </c>
    </row>
    <row r="69" spans="1:8" s="41" customFormat="1" ht="25.5">
      <c r="A69" s="116"/>
      <c r="B69" s="119"/>
      <c r="C69" s="122"/>
      <c r="D69" s="14" t="s">
        <v>16</v>
      </c>
      <c r="E69" s="15" t="s">
        <v>15</v>
      </c>
      <c r="F69" s="16">
        <f>3721.601+94.508+14.286</f>
        <v>3830.395</v>
      </c>
      <c r="G69" s="17">
        <v>107.42</v>
      </c>
      <c r="H69" s="18">
        <f>F69*G69</f>
        <v>411461.03090000001</v>
      </c>
    </row>
    <row r="70" spans="1:8" s="41" customFormat="1" ht="25.5">
      <c r="A70" s="116"/>
      <c r="B70" s="119"/>
      <c r="C70" s="122"/>
      <c r="D70" s="14" t="s">
        <v>17</v>
      </c>
      <c r="E70" s="15" t="s">
        <v>15</v>
      </c>
      <c r="F70" s="16">
        <f>2303.435+5.893+21.618+1.938</f>
        <v>2332.884</v>
      </c>
      <c r="G70" s="17">
        <v>107.42</v>
      </c>
      <c r="H70" s="18">
        <f>F70*G70</f>
        <v>250598.39928000001</v>
      </c>
    </row>
    <row r="71" spans="1:8" s="41" customFormat="1">
      <c r="A71" s="116"/>
      <c r="B71" s="119"/>
      <c r="C71" s="122"/>
      <c r="D71" s="14" t="s">
        <v>18</v>
      </c>
      <c r="E71" s="15" t="s">
        <v>15</v>
      </c>
      <c r="F71" s="16">
        <v>1164.9480000000001</v>
      </c>
      <c r="G71" s="17">
        <v>107.42</v>
      </c>
      <c r="H71" s="18">
        <f>F71*G71</f>
        <v>125138.71416000002</v>
      </c>
    </row>
    <row r="72" spans="1:8" s="41" customFormat="1">
      <c r="A72" s="116"/>
      <c r="B72" s="119"/>
      <c r="C72" s="122"/>
      <c r="D72" s="35" t="s">
        <v>19</v>
      </c>
      <c r="E72" s="36"/>
      <c r="F72" s="24">
        <f>F67</f>
        <v>61.722999999999999</v>
      </c>
      <c r="G72" s="25"/>
      <c r="H72" s="26">
        <f>H67</f>
        <v>3365334.8563700002</v>
      </c>
    </row>
    <row r="73" spans="1:8" s="41" customFormat="1" ht="16.5" thickBot="1">
      <c r="A73" s="117"/>
      <c r="B73" s="120"/>
      <c r="C73" s="123"/>
      <c r="D73" s="37" t="s">
        <v>20</v>
      </c>
      <c r="E73" s="38"/>
      <c r="F73" s="30">
        <f>F69+F70+F71+F68</f>
        <v>7333.5690000000004</v>
      </c>
      <c r="G73" s="31"/>
      <c r="H73" s="32">
        <f>H69+H70+H71+H68</f>
        <v>787771.98198000004</v>
      </c>
    </row>
    <row r="74" spans="1:8" s="43" customFormat="1" ht="16.5" customHeight="1">
      <c r="A74" s="115">
        <v>11</v>
      </c>
      <c r="B74" s="118" t="s">
        <v>30</v>
      </c>
      <c r="C74" s="121" t="s">
        <v>11</v>
      </c>
      <c r="D74" s="39" t="s">
        <v>12</v>
      </c>
      <c r="E74" s="40" t="s">
        <v>13</v>
      </c>
      <c r="F74" s="11">
        <v>61.722999999999999</v>
      </c>
      <c r="G74" s="12">
        <v>54523.19</v>
      </c>
      <c r="H74" s="13">
        <f>F74*G74</f>
        <v>3365334.8563700002</v>
      </c>
    </row>
    <row r="75" spans="1:8" s="43" customFormat="1" ht="16.5" customHeight="1">
      <c r="A75" s="116"/>
      <c r="B75" s="119"/>
      <c r="C75" s="122"/>
      <c r="D75" s="14" t="s">
        <v>14</v>
      </c>
      <c r="E75" s="15" t="s">
        <v>15</v>
      </c>
      <c r="F75" s="16">
        <v>28.021999999999998</v>
      </c>
      <c r="G75" s="17">
        <v>107.42</v>
      </c>
      <c r="H75" s="18">
        <f>F75*G75</f>
        <v>3010.1232399999999</v>
      </c>
    </row>
    <row r="76" spans="1:8" s="43" customFormat="1" ht="25.5">
      <c r="A76" s="116"/>
      <c r="B76" s="119"/>
      <c r="C76" s="122"/>
      <c r="D76" s="14" t="s">
        <v>16</v>
      </c>
      <c r="E76" s="15" t="s">
        <v>15</v>
      </c>
      <c r="F76" s="16">
        <f>4305.592+136.925+13.853</f>
        <v>4456.37</v>
      </c>
      <c r="G76" s="17">
        <v>107.42</v>
      </c>
      <c r="H76" s="18">
        <f>F76*G76</f>
        <v>478703.26539999997</v>
      </c>
    </row>
    <row r="77" spans="1:8" s="43" customFormat="1" ht="25.5">
      <c r="A77" s="116"/>
      <c r="B77" s="119"/>
      <c r="C77" s="122"/>
      <c r="D77" s="14" t="s">
        <v>17</v>
      </c>
      <c r="E77" s="15" t="s">
        <v>15</v>
      </c>
      <c r="F77" s="16">
        <f>2487.257+5.78+12.551+1.874</f>
        <v>2507.462</v>
      </c>
      <c r="G77" s="17">
        <v>107.42</v>
      </c>
      <c r="H77" s="18">
        <f>F77*G77</f>
        <v>269351.56803999998</v>
      </c>
    </row>
    <row r="78" spans="1:8" s="43" customFormat="1">
      <c r="A78" s="116"/>
      <c r="B78" s="119"/>
      <c r="C78" s="122"/>
      <c r="D78" s="14" t="s">
        <v>18</v>
      </c>
      <c r="E78" s="15" t="s">
        <v>15</v>
      </c>
      <c r="F78" s="16">
        <v>1063.3599999999999</v>
      </c>
      <c r="G78" s="17">
        <v>107.42</v>
      </c>
      <c r="H78" s="18">
        <f>F78*G78</f>
        <v>114226.13119999999</v>
      </c>
    </row>
    <row r="79" spans="1:8" s="43" customFormat="1">
      <c r="A79" s="116"/>
      <c r="B79" s="119"/>
      <c r="C79" s="122"/>
      <c r="D79" s="35" t="s">
        <v>19</v>
      </c>
      <c r="E79" s="36"/>
      <c r="F79" s="24">
        <f>F74</f>
        <v>61.722999999999999</v>
      </c>
      <c r="G79" s="25"/>
      <c r="H79" s="26">
        <f>H74</f>
        <v>3365334.8563700002</v>
      </c>
    </row>
    <row r="80" spans="1:8" s="43" customFormat="1" ht="16.5" thickBot="1">
      <c r="A80" s="117"/>
      <c r="B80" s="120"/>
      <c r="C80" s="123"/>
      <c r="D80" s="37" t="s">
        <v>20</v>
      </c>
      <c r="E80" s="38"/>
      <c r="F80" s="30">
        <f>F76+F77+F78+F75</f>
        <v>8055.2139999999999</v>
      </c>
      <c r="G80" s="31"/>
      <c r="H80" s="32">
        <f>H76+H77+H78+H75</f>
        <v>865291.08787999989</v>
      </c>
    </row>
    <row r="81" spans="1:16" s="41" customFormat="1" ht="16.5" customHeight="1">
      <c r="A81" s="115">
        <v>12</v>
      </c>
      <c r="B81" s="118" t="s">
        <v>31</v>
      </c>
      <c r="C81" s="121" t="s">
        <v>11</v>
      </c>
      <c r="D81" s="39" t="s">
        <v>12</v>
      </c>
      <c r="E81" s="40" t="s">
        <v>13</v>
      </c>
      <c r="F81" s="11">
        <v>61.722999999999999</v>
      </c>
      <c r="G81" s="12">
        <v>54523.19</v>
      </c>
      <c r="H81" s="13">
        <f>F81*G81</f>
        <v>3365334.8563700002</v>
      </c>
    </row>
    <row r="82" spans="1:16" s="41" customFormat="1" ht="16.5" customHeight="1">
      <c r="A82" s="116"/>
      <c r="B82" s="119"/>
      <c r="C82" s="122"/>
      <c r="D82" s="14" t="s">
        <v>14</v>
      </c>
      <c r="E82" s="15" t="s">
        <v>15</v>
      </c>
      <c r="F82" s="16">
        <v>122.93300000000001</v>
      </c>
      <c r="G82" s="17">
        <v>107.42</v>
      </c>
      <c r="H82" s="18">
        <f>F82*G82</f>
        <v>13205.462860000001</v>
      </c>
    </row>
    <row r="83" spans="1:16" s="41" customFormat="1" ht="25.5">
      <c r="A83" s="116"/>
      <c r="B83" s="119"/>
      <c r="C83" s="122"/>
      <c r="D83" s="14" t="s">
        <v>16</v>
      </c>
      <c r="E83" s="15" t="s">
        <v>15</v>
      </c>
      <c r="F83" s="16">
        <f>5371.252+168.608+14.27</f>
        <v>5554.130000000001</v>
      </c>
      <c r="G83" s="17">
        <v>107.42</v>
      </c>
      <c r="H83" s="18">
        <f>F83*G83</f>
        <v>596624.64460000012</v>
      </c>
    </row>
    <row r="84" spans="1:16" s="41" customFormat="1" ht="25.5">
      <c r="A84" s="116"/>
      <c r="B84" s="119"/>
      <c r="C84" s="122"/>
      <c r="D84" s="14" t="s">
        <v>17</v>
      </c>
      <c r="E84" s="15" t="s">
        <v>15</v>
      </c>
      <c r="F84" s="16">
        <f>2687.535+12.731+37.235+10.394+1.937</f>
        <v>2749.8319999999999</v>
      </c>
      <c r="G84" s="17">
        <v>107.42</v>
      </c>
      <c r="H84" s="18">
        <f>F84*G84</f>
        <v>295386.95344000001</v>
      </c>
    </row>
    <row r="85" spans="1:16" s="41" customFormat="1">
      <c r="A85" s="116"/>
      <c r="B85" s="119"/>
      <c r="C85" s="122"/>
      <c r="D85" s="14" t="s">
        <v>18</v>
      </c>
      <c r="E85" s="15" t="s">
        <v>15</v>
      </c>
      <c r="F85" s="16">
        <v>981.29100000000005</v>
      </c>
      <c r="G85" s="17">
        <v>107.42</v>
      </c>
      <c r="H85" s="18">
        <f>F85*G85</f>
        <v>105410.27922000001</v>
      </c>
    </row>
    <row r="86" spans="1:16" s="41" customFormat="1">
      <c r="A86" s="116"/>
      <c r="B86" s="119"/>
      <c r="C86" s="122"/>
      <c r="D86" s="35" t="s">
        <v>19</v>
      </c>
      <c r="E86" s="36"/>
      <c r="F86" s="24">
        <f>F81</f>
        <v>61.722999999999999</v>
      </c>
      <c r="G86" s="25"/>
      <c r="H86" s="26">
        <f>H81</f>
        <v>3365334.8563700002</v>
      </c>
    </row>
    <row r="87" spans="1:16" s="41" customFormat="1" ht="16.5" thickBot="1">
      <c r="A87" s="117"/>
      <c r="B87" s="120"/>
      <c r="C87" s="123"/>
      <c r="D87" s="37" t="s">
        <v>20</v>
      </c>
      <c r="E87" s="38"/>
      <c r="F87" s="30">
        <f>F83+F84+F85+F82</f>
        <v>9408.1860000000015</v>
      </c>
      <c r="G87" s="31"/>
      <c r="H87" s="32">
        <f>H83+H84+H85+H82</f>
        <v>1010627.3401200001</v>
      </c>
    </row>
    <row r="88" spans="1:16" ht="15.75" customHeight="1">
      <c r="A88" s="115"/>
      <c r="B88" s="118">
        <v>2023</v>
      </c>
      <c r="C88" s="121" t="s">
        <v>11</v>
      </c>
      <c r="D88" s="39" t="s">
        <v>12</v>
      </c>
      <c r="E88" s="40" t="s">
        <v>13</v>
      </c>
      <c r="F88" s="11">
        <v>61.722999999999999</v>
      </c>
      <c r="G88" s="12">
        <v>54523.19</v>
      </c>
      <c r="H88" s="44">
        <f>F88*G88*12</f>
        <v>40384018.276440002</v>
      </c>
      <c r="I88" s="45"/>
      <c r="J88" s="46"/>
    </row>
    <row r="89" spans="1:16">
      <c r="A89" s="116"/>
      <c r="B89" s="119"/>
      <c r="C89" s="122"/>
      <c r="D89" s="14" t="s">
        <v>14</v>
      </c>
      <c r="E89" s="15" t="s">
        <v>15</v>
      </c>
      <c r="F89" s="47">
        <f>F5+F12+F19+F26+F33+F40+F47+F54+F61+F68+F75+F82</f>
        <v>420.16899999999993</v>
      </c>
      <c r="G89" s="17">
        <v>107.42</v>
      </c>
      <c r="H89" s="18">
        <f>F89*G89</f>
        <v>45134.55397999999</v>
      </c>
      <c r="J89" s="21"/>
      <c r="K89" s="46"/>
      <c r="L89" s="46"/>
    </row>
    <row r="90" spans="1:16" ht="25.5">
      <c r="A90" s="116"/>
      <c r="B90" s="119"/>
      <c r="C90" s="122"/>
      <c r="D90" s="14" t="s">
        <v>16</v>
      </c>
      <c r="E90" s="15" t="s">
        <v>15</v>
      </c>
      <c r="F90" s="47">
        <f>F6+F13+F20+F27+F34+F41+F48+F55+F62+F69+F76+F83</f>
        <v>55340.847000000009</v>
      </c>
      <c r="G90" s="17">
        <v>107.42</v>
      </c>
      <c r="H90" s="18">
        <f>F90*G90</f>
        <v>5944713.784740001</v>
      </c>
      <c r="J90" s="21"/>
      <c r="K90" s="21"/>
      <c r="L90" s="21"/>
    </row>
    <row r="91" spans="1:16" ht="25.5">
      <c r="A91" s="116"/>
      <c r="B91" s="119"/>
      <c r="C91" s="122"/>
      <c r="D91" s="14" t="s">
        <v>17</v>
      </c>
      <c r="E91" s="15" t="s">
        <v>15</v>
      </c>
      <c r="F91" s="47">
        <f>F7+F14+F21+F28+F35+F42+F49+F56+F63+F70+F77+F84</f>
        <v>31912.902999999995</v>
      </c>
      <c r="G91" s="17">
        <v>107.42</v>
      </c>
      <c r="H91" s="18">
        <f>F91*G91</f>
        <v>3428084.0402599997</v>
      </c>
      <c r="J91" s="21"/>
      <c r="K91" s="21"/>
      <c r="L91" s="21"/>
    </row>
    <row r="92" spans="1:16">
      <c r="A92" s="116"/>
      <c r="B92" s="119"/>
      <c r="C92" s="122"/>
      <c r="D92" s="14" t="s">
        <v>18</v>
      </c>
      <c r="E92" s="15" t="s">
        <v>15</v>
      </c>
      <c r="F92" s="47">
        <f>F8+F15+F22+F29+F36+F43+F50+F57+F64+F71+F78+F85</f>
        <v>13478.944000000001</v>
      </c>
      <c r="G92" s="17">
        <v>107.42</v>
      </c>
      <c r="H92" s="18">
        <f>F92*G92</f>
        <v>1447908.1644800003</v>
      </c>
      <c r="I92" s="43"/>
      <c r="K92" s="21"/>
      <c r="L92" s="21"/>
    </row>
    <row r="93" spans="1:16">
      <c r="A93" s="116"/>
      <c r="B93" s="119"/>
      <c r="C93" s="122"/>
      <c r="D93" s="35" t="s">
        <v>19</v>
      </c>
      <c r="E93" s="36"/>
      <c r="F93" s="24">
        <f>F88</f>
        <v>61.722999999999999</v>
      </c>
      <c r="G93" s="25"/>
      <c r="H93" s="26">
        <f>H88</f>
        <v>40384018.276440002</v>
      </c>
      <c r="I93" s="42"/>
      <c r="J93" s="48"/>
      <c r="K93" s="48"/>
      <c r="L93" s="49"/>
      <c r="M93" s="27"/>
      <c r="N93" s="45"/>
      <c r="P93" s="27"/>
    </row>
    <row r="94" spans="1:16" ht="16.5" thickBot="1">
      <c r="A94" s="117"/>
      <c r="B94" s="120"/>
      <c r="C94" s="123"/>
      <c r="D94" s="37" t="s">
        <v>20</v>
      </c>
      <c r="E94" s="38"/>
      <c r="F94" s="30">
        <f>F90+F91+F92+F89</f>
        <v>101152.863</v>
      </c>
      <c r="G94" s="31"/>
      <c r="H94" s="32">
        <f>H90+H91+H92+H89</f>
        <v>10865840.543460002</v>
      </c>
      <c r="I94" s="42"/>
      <c r="J94" s="48"/>
      <c r="K94" s="48"/>
      <c r="L94" s="48"/>
      <c r="N94" s="45"/>
      <c r="P94" s="27"/>
    </row>
    <row r="95" spans="1:16">
      <c r="A95" s="50"/>
      <c r="B95" s="50"/>
      <c r="C95" s="51"/>
      <c r="D95" s="52"/>
      <c r="E95" s="53"/>
      <c r="F95" s="54"/>
      <c r="G95" s="55"/>
      <c r="H95" s="55"/>
      <c r="K95" s="27"/>
    </row>
    <row r="96" spans="1:16" s="56" customFormat="1" ht="18.75">
      <c r="E96" s="57"/>
      <c r="H96" s="58"/>
      <c r="J96" s="59"/>
      <c r="L96" s="58"/>
      <c r="M96" s="58"/>
    </row>
    <row r="97" spans="2:12" s="56" customFormat="1" ht="18.75">
      <c r="B97" s="56" t="s">
        <v>32</v>
      </c>
      <c r="E97" s="57"/>
      <c r="F97" s="56" t="s">
        <v>33</v>
      </c>
      <c r="L97" s="59"/>
    </row>
    <row r="98" spans="2:12" s="56" customFormat="1" ht="18.75">
      <c r="E98" s="57"/>
    </row>
    <row r="99" spans="2:12" s="56" customFormat="1" ht="18.75">
      <c r="B99" s="56" t="s">
        <v>34</v>
      </c>
      <c r="E99" s="57"/>
      <c r="F99" s="56" t="s">
        <v>35</v>
      </c>
    </row>
    <row r="103" spans="2:12">
      <c r="H103" s="27"/>
    </row>
  </sheetData>
  <mergeCells count="41">
    <mergeCell ref="A88:A94"/>
    <mergeCell ref="B88:B94"/>
    <mergeCell ref="C88:C94"/>
    <mergeCell ref="A74:A80"/>
    <mergeCell ref="B74:B80"/>
    <mergeCell ref="C74:C80"/>
    <mergeCell ref="A81:A87"/>
    <mergeCell ref="B81:B87"/>
    <mergeCell ref="C81:C87"/>
    <mergeCell ref="A60:A66"/>
    <mergeCell ref="B60:B66"/>
    <mergeCell ref="C60:C66"/>
    <mergeCell ref="A67:A73"/>
    <mergeCell ref="B67:B73"/>
    <mergeCell ref="C67:C73"/>
    <mergeCell ref="A46:A52"/>
    <mergeCell ref="B46:B52"/>
    <mergeCell ref="C46:C52"/>
    <mergeCell ref="A53:A59"/>
    <mergeCell ref="B53:B59"/>
    <mergeCell ref="C53:C59"/>
    <mergeCell ref="A32:A38"/>
    <mergeCell ref="B32:B38"/>
    <mergeCell ref="C32:C38"/>
    <mergeCell ref="A39:A45"/>
    <mergeCell ref="B39:B45"/>
    <mergeCell ref="C39:C45"/>
    <mergeCell ref="A18:A24"/>
    <mergeCell ref="B18:B24"/>
    <mergeCell ref="C18:C24"/>
    <mergeCell ref="A25:A31"/>
    <mergeCell ref="B25:B31"/>
    <mergeCell ref="C25:C31"/>
    <mergeCell ref="A11:A17"/>
    <mergeCell ref="B11:B17"/>
    <mergeCell ref="C11:C17"/>
    <mergeCell ref="A1:H1"/>
    <mergeCell ref="J3:L3"/>
    <mergeCell ref="A4:A10"/>
    <mergeCell ref="B4:B10"/>
    <mergeCell ref="C4:C10"/>
  </mergeCells>
  <pageMargins left="0.70866141732283472" right="0.31496062992125984" top="0.74803149606299213" bottom="0.35433070866141736" header="0.31496062992125984" footer="0.31496062992125984"/>
  <pageSetup paperSize="9" scale="62" fitToHeight="2" orientation="portrait" r:id="rId1"/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03"/>
  <sheetViews>
    <sheetView workbookViewId="0">
      <selection activeCell="H94" sqref="H94"/>
    </sheetView>
  </sheetViews>
  <sheetFormatPr defaultRowHeight="15.75"/>
  <cols>
    <col min="1" max="1" width="5.5703125" style="2" customWidth="1"/>
    <col min="2" max="2" width="13.28515625" style="2" customWidth="1"/>
    <col min="3" max="3" width="17.140625" style="2" customWidth="1"/>
    <col min="4" max="4" width="43.28515625" style="2" customWidth="1"/>
    <col min="5" max="5" width="15" style="3" customWidth="1"/>
    <col min="6" max="6" width="18.28515625" style="2" customWidth="1"/>
    <col min="7" max="7" width="15.28515625" style="2" customWidth="1"/>
    <col min="8" max="8" width="19.85546875" style="2" customWidth="1"/>
    <col min="9" max="9" width="16.5703125" style="2" bestFit="1" customWidth="1"/>
    <col min="10" max="10" width="22" style="2" bestFit="1" customWidth="1"/>
    <col min="11" max="11" width="13.140625" style="2" bestFit="1" customWidth="1"/>
    <col min="12" max="12" width="22" style="2" bestFit="1" customWidth="1"/>
    <col min="13" max="13" width="16.42578125" style="2" bestFit="1" customWidth="1"/>
    <col min="14" max="14" width="17.85546875" style="2" bestFit="1" customWidth="1"/>
    <col min="15" max="256" width="9.140625" style="2"/>
    <col min="257" max="257" width="5.5703125" style="2" customWidth="1"/>
    <col min="258" max="258" width="13.28515625" style="2" customWidth="1"/>
    <col min="259" max="259" width="17.140625" style="2" customWidth="1"/>
    <col min="260" max="260" width="43.28515625" style="2" customWidth="1"/>
    <col min="261" max="261" width="15" style="2" customWidth="1"/>
    <col min="262" max="262" width="18.28515625" style="2" customWidth="1"/>
    <col min="263" max="263" width="15.28515625" style="2" customWidth="1"/>
    <col min="264" max="264" width="19.85546875" style="2" customWidth="1"/>
    <col min="265" max="265" width="16.5703125" style="2" bestFit="1" customWidth="1"/>
    <col min="266" max="266" width="22" style="2" bestFit="1" customWidth="1"/>
    <col min="267" max="267" width="13.140625" style="2" bestFit="1" customWidth="1"/>
    <col min="268" max="268" width="22" style="2" bestFit="1" customWidth="1"/>
    <col min="269" max="269" width="16.42578125" style="2" bestFit="1" customWidth="1"/>
    <col min="270" max="270" width="17.85546875" style="2" bestFit="1" customWidth="1"/>
    <col min="271" max="512" width="9.140625" style="2"/>
    <col min="513" max="513" width="5.5703125" style="2" customWidth="1"/>
    <col min="514" max="514" width="13.28515625" style="2" customWidth="1"/>
    <col min="515" max="515" width="17.140625" style="2" customWidth="1"/>
    <col min="516" max="516" width="43.28515625" style="2" customWidth="1"/>
    <col min="517" max="517" width="15" style="2" customWidth="1"/>
    <col min="518" max="518" width="18.28515625" style="2" customWidth="1"/>
    <col min="519" max="519" width="15.28515625" style="2" customWidth="1"/>
    <col min="520" max="520" width="19.85546875" style="2" customWidth="1"/>
    <col min="521" max="521" width="16.5703125" style="2" bestFit="1" customWidth="1"/>
    <col min="522" max="522" width="22" style="2" bestFit="1" customWidth="1"/>
    <col min="523" max="523" width="13.140625" style="2" bestFit="1" customWidth="1"/>
    <col min="524" max="524" width="22" style="2" bestFit="1" customWidth="1"/>
    <col min="525" max="525" width="16.42578125" style="2" bestFit="1" customWidth="1"/>
    <col min="526" max="526" width="17.85546875" style="2" bestFit="1" customWidth="1"/>
    <col min="527" max="768" width="9.140625" style="2"/>
    <col min="769" max="769" width="5.5703125" style="2" customWidth="1"/>
    <col min="770" max="770" width="13.28515625" style="2" customWidth="1"/>
    <col min="771" max="771" width="17.140625" style="2" customWidth="1"/>
    <col min="772" max="772" width="43.28515625" style="2" customWidth="1"/>
    <col min="773" max="773" width="15" style="2" customWidth="1"/>
    <col min="774" max="774" width="18.28515625" style="2" customWidth="1"/>
    <col min="775" max="775" width="15.28515625" style="2" customWidth="1"/>
    <col min="776" max="776" width="19.85546875" style="2" customWidth="1"/>
    <col min="777" max="777" width="16.5703125" style="2" bestFit="1" customWidth="1"/>
    <col min="778" max="778" width="22" style="2" bestFit="1" customWidth="1"/>
    <col min="779" max="779" width="13.140625" style="2" bestFit="1" customWidth="1"/>
    <col min="780" max="780" width="22" style="2" bestFit="1" customWidth="1"/>
    <col min="781" max="781" width="16.42578125" style="2" bestFit="1" customWidth="1"/>
    <col min="782" max="782" width="17.85546875" style="2" bestFit="1" customWidth="1"/>
    <col min="783" max="1024" width="9.140625" style="2"/>
    <col min="1025" max="1025" width="5.5703125" style="2" customWidth="1"/>
    <col min="1026" max="1026" width="13.28515625" style="2" customWidth="1"/>
    <col min="1027" max="1027" width="17.140625" style="2" customWidth="1"/>
    <col min="1028" max="1028" width="43.28515625" style="2" customWidth="1"/>
    <col min="1029" max="1029" width="15" style="2" customWidth="1"/>
    <col min="1030" max="1030" width="18.28515625" style="2" customWidth="1"/>
    <col min="1031" max="1031" width="15.28515625" style="2" customWidth="1"/>
    <col min="1032" max="1032" width="19.85546875" style="2" customWidth="1"/>
    <col min="1033" max="1033" width="16.5703125" style="2" bestFit="1" customWidth="1"/>
    <col min="1034" max="1034" width="22" style="2" bestFit="1" customWidth="1"/>
    <col min="1035" max="1035" width="13.140625" style="2" bestFit="1" customWidth="1"/>
    <col min="1036" max="1036" width="22" style="2" bestFit="1" customWidth="1"/>
    <col min="1037" max="1037" width="16.42578125" style="2" bestFit="1" customWidth="1"/>
    <col min="1038" max="1038" width="17.85546875" style="2" bestFit="1" customWidth="1"/>
    <col min="1039" max="1280" width="9.140625" style="2"/>
    <col min="1281" max="1281" width="5.5703125" style="2" customWidth="1"/>
    <col min="1282" max="1282" width="13.28515625" style="2" customWidth="1"/>
    <col min="1283" max="1283" width="17.140625" style="2" customWidth="1"/>
    <col min="1284" max="1284" width="43.28515625" style="2" customWidth="1"/>
    <col min="1285" max="1285" width="15" style="2" customWidth="1"/>
    <col min="1286" max="1286" width="18.28515625" style="2" customWidth="1"/>
    <col min="1287" max="1287" width="15.28515625" style="2" customWidth="1"/>
    <col min="1288" max="1288" width="19.85546875" style="2" customWidth="1"/>
    <col min="1289" max="1289" width="16.5703125" style="2" bestFit="1" customWidth="1"/>
    <col min="1290" max="1290" width="22" style="2" bestFit="1" customWidth="1"/>
    <col min="1291" max="1291" width="13.140625" style="2" bestFit="1" customWidth="1"/>
    <col min="1292" max="1292" width="22" style="2" bestFit="1" customWidth="1"/>
    <col min="1293" max="1293" width="16.42578125" style="2" bestFit="1" customWidth="1"/>
    <col min="1294" max="1294" width="17.85546875" style="2" bestFit="1" customWidth="1"/>
    <col min="1295" max="1536" width="9.140625" style="2"/>
    <col min="1537" max="1537" width="5.5703125" style="2" customWidth="1"/>
    <col min="1538" max="1538" width="13.28515625" style="2" customWidth="1"/>
    <col min="1539" max="1539" width="17.140625" style="2" customWidth="1"/>
    <col min="1540" max="1540" width="43.28515625" style="2" customWidth="1"/>
    <col min="1541" max="1541" width="15" style="2" customWidth="1"/>
    <col min="1542" max="1542" width="18.28515625" style="2" customWidth="1"/>
    <col min="1543" max="1543" width="15.28515625" style="2" customWidth="1"/>
    <col min="1544" max="1544" width="19.85546875" style="2" customWidth="1"/>
    <col min="1545" max="1545" width="16.5703125" style="2" bestFit="1" customWidth="1"/>
    <col min="1546" max="1546" width="22" style="2" bestFit="1" customWidth="1"/>
    <col min="1547" max="1547" width="13.140625" style="2" bestFit="1" customWidth="1"/>
    <col min="1548" max="1548" width="22" style="2" bestFit="1" customWidth="1"/>
    <col min="1549" max="1549" width="16.42578125" style="2" bestFit="1" customWidth="1"/>
    <col min="1550" max="1550" width="17.85546875" style="2" bestFit="1" customWidth="1"/>
    <col min="1551" max="1792" width="9.140625" style="2"/>
    <col min="1793" max="1793" width="5.5703125" style="2" customWidth="1"/>
    <col min="1794" max="1794" width="13.28515625" style="2" customWidth="1"/>
    <col min="1795" max="1795" width="17.140625" style="2" customWidth="1"/>
    <col min="1796" max="1796" width="43.28515625" style="2" customWidth="1"/>
    <col min="1797" max="1797" width="15" style="2" customWidth="1"/>
    <col min="1798" max="1798" width="18.28515625" style="2" customWidth="1"/>
    <col min="1799" max="1799" width="15.28515625" style="2" customWidth="1"/>
    <col min="1800" max="1800" width="19.85546875" style="2" customWidth="1"/>
    <col min="1801" max="1801" width="16.5703125" style="2" bestFit="1" customWidth="1"/>
    <col min="1802" max="1802" width="22" style="2" bestFit="1" customWidth="1"/>
    <col min="1803" max="1803" width="13.140625" style="2" bestFit="1" customWidth="1"/>
    <col min="1804" max="1804" width="22" style="2" bestFit="1" customWidth="1"/>
    <col min="1805" max="1805" width="16.42578125" style="2" bestFit="1" customWidth="1"/>
    <col min="1806" max="1806" width="17.85546875" style="2" bestFit="1" customWidth="1"/>
    <col min="1807" max="2048" width="9.140625" style="2"/>
    <col min="2049" max="2049" width="5.5703125" style="2" customWidth="1"/>
    <col min="2050" max="2050" width="13.28515625" style="2" customWidth="1"/>
    <col min="2051" max="2051" width="17.140625" style="2" customWidth="1"/>
    <col min="2052" max="2052" width="43.28515625" style="2" customWidth="1"/>
    <col min="2053" max="2053" width="15" style="2" customWidth="1"/>
    <col min="2054" max="2054" width="18.28515625" style="2" customWidth="1"/>
    <col min="2055" max="2055" width="15.28515625" style="2" customWidth="1"/>
    <col min="2056" max="2056" width="19.85546875" style="2" customWidth="1"/>
    <col min="2057" max="2057" width="16.5703125" style="2" bestFit="1" customWidth="1"/>
    <col min="2058" max="2058" width="22" style="2" bestFit="1" customWidth="1"/>
    <col min="2059" max="2059" width="13.140625" style="2" bestFit="1" customWidth="1"/>
    <col min="2060" max="2060" width="22" style="2" bestFit="1" customWidth="1"/>
    <col min="2061" max="2061" width="16.42578125" style="2" bestFit="1" customWidth="1"/>
    <col min="2062" max="2062" width="17.85546875" style="2" bestFit="1" customWidth="1"/>
    <col min="2063" max="2304" width="9.140625" style="2"/>
    <col min="2305" max="2305" width="5.5703125" style="2" customWidth="1"/>
    <col min="2306" max="2306" width="13.28515625" style="2" customWidth="1"/>
    <col min="2307" max="2307" width="17.140625" style="2" customWidth="1"/>
    <col min="2308" max="2308" width="43.28515625" style="2" customWidth="1"/>
    <col min="2309" max="2309" width="15" style="2" customWidth="1"/>
    <col min="2310" max="2310" width="18.28515625" style="2" customWidth="1"/>
    <col min="2311" max="2311" width="15.28515625" style="2" customWidth="1"/>
    <col min="2312" max="2312" width="19.85546875" style="2" customWidth="1"/>
    <col min="2313" max="2313" width="16.5703125" style="2" bestFit="1" customWidth="1"/>
    <col min="2314" max="2314" width="22" style="2" bestFit="1" customWidth="1"/>
    <col min="2315" max="2315" width="13.140625" style="2" bestFit="1" customWidth="1"/>
    <col min="2316" max="2316" width="22" style="2" bestFit="1" customWidth="1"/>
    <col min="2317" max="2317" width="16.42578125" style="2" bestFit="1" customWidth="1"/>
    <col min="2318" max="2318" width="17.85546875" style="2" bestFit="1" customWidth="1"/>
    <col min="2319" max="2560" width="9.140625" style="2"/>
    <col min="2561" max="2561" width="5.5703125" style="2" customWidth="1"/>
    <col min="2562" max="2562" width="13.28515625" style="2" customWidth="1"/>
    <col min="2563" max="2563" width="17.140625" style="2" customWidth="1"/>
    <col min="2564" max="2564" width="43.28515625" style="2" customWidth="1"/>
    <col min="2565" max="2565" width="15" style="2" customWidth="1"/>
    <col min="2566" max="2566" width="18.28515625" style="2" customWidth="1"/>
    <col min="2567" max="2567" width="15.28515625" style="2" customWidth="1"/>
    <col min="2568" max="2568" width="19.85546875" style="2" customWidth="1"/>
    <col min="2569" max="2569" width="16.5703125" style="2" bestFit="1" customWidth="1"/>
    <col min="2570" max="2570" width="22" style="2" bestFit="1" customWidth="1"/>
    <col min="2571" max="2571" width="13.140625" style="2" bestFit="1" customWidth="1"/>
    <col min="2572" max="2572" width="22" style="2" bestFit="1" customWidth="1"/>
    <col min="2573" max="2573" width="16.42578125" style="2" bestFit="1" customWidth="1"/>
    <col min="2574" max="2574" width="17.85546875" style="2" bestFit="1" customWidth="1"/>
    <col min="2575" max="2816" width="9.140625" style="2"/>
    <col min="2817" max="2817" width="5.5703125" style="2" customWidth="1"/>
    <col min="2818" max="2818" width="13.28515625" style="2" customWidth="1"/>
    <col min="2819" max="2819" width="17.140625" style="2" customWidth="1"/>
    <col min="2820" max="2820" width="43.28515625" style="2" customWidth="1"/>
    <col min="2821" max="2821" width="15" style="2" customWidth="1"/>
    <col min="2822" max="2822" width="18.28515625" style="2" customWidth="1"/>
    <col min="2823" max="2823" width="15.28515625" style="2" customWidth="1"/>
    <col min="2824" max="2824" width="19.85546875" style="2" customWidth="1"/>
    <col min="2825" max="2825" width="16.5703125" style="2" bestFit="1" customWidth="1"/>
    <col min="2826" max="2826" width="22" style="2" bestFit="1" customWidth="1"/>
    <col min="2827" max="2827" width="13.140625" style="2" bestFit="1" customWidth="1"/>
    <col min="2828" max="2828" width="22" style="2" bestFit="1" customWidth="1"/>
    <col min="2829" max="2829" width="16.42578125" style="2" bestFit="1" customWidth="1"/>
    <col min="2830" max="2830" width="17.85546875" style="2" bestFit="1" customWidth="1"/>
    <col min="2831" max="3072" width="9.140625" style="2"/>
    <col min="3073" max="3073" width="5.5703125" style="2" customWidth="1"/>
    <col min="3074" max="3074" width="13.28515625" style="2" customWidth="1"/>
    <col min="3075" max="3075" width="17.140625" style="2" customWidth="1"/>
    <col min="3076" max="3076" width="43.28515625" style="2" customWidth="1"/>
    <col min="3077" max="3077" width="15" style="2" customWidth="1"/>
    <col min="3078" max="3078" width="18.28515625" style="2" customWidth="1"/>
    <col min="3079" max="3079" width="15.28515625" style="2" customWidth="1"/>
    <col min="3080" max="3080" width="19.85546875" style="2" customWidth="1"/>
    <col min="3081" max="3081" width="16.5703125" style="2" bestFit="1" customWidth="1"/>
    <col min="3082" max="3082" width="22" style="2" bestFit="1" customWidth="1"/>
    <col min="3083" max="3083" width="13.140625" style="2" bestFit="1" customWidth="1"/>
    <col min="3084" max="3084" width="22" style="2" bestFit="1" customWidth="1"/>
    <col min="3085" max="3085" width="16.42578125" style="2" bestFit="1" customWidth="1"/>
    <col min="3086" max="3086" width="17.85546875" style="2" bestFit="1" customWidth="1"/>
    <col min="3087" max="3328" width="9.140625" style="2"/>
    <col min="3329" max="3329" width="5.5703125" style="2" customWidth="1"/>
    <col min="3330" max="3330" width="13.28515625" style="2" customWidth="1"/>
    <col min="3331" max="3331" width="17.140625" style="2" customWidth="1"/>
    <col min="3332" max="3332" width="43.28515625" style="2" customWidth="1"/>
    <col min="3333" max="3333" width="15" style="2" customWidth="1"/>
    <col min="3334" max="3334" width="18.28515625" style="2" customWidth="1"/>
    <col min="3335" max="3335" width="15.28515625" style="2" customWidth="1"/>
    <col min="3336" max="3336" width="19.85546875" style="2" customWidth="1"/>
    <col min="3337" max="3337" width="16.5703125" style="2" bestFit="1" customWidth="1"/>
    <col min="3338" max="3338" width="22" style="2" bestFit="1" customWidth="1"/>
    <col min="3339" max="3339" width="13.140625" style="2" bestFit="1" customWidth="1"/>
    <col min="3340" max="3340" width="22" style="2" bestFit="1" customWidth="1"/>
    <col min="3341" max="3341" width="16.42578125" style="2" bestFit="1" customWidth="1"/>
    <col min="3342" max="3342" width="17.85546875" style="2" bestFit="1" customWidth="1"/>
    <col min="3343" max="3584" width="9.140625" style="2"/>
    <col min="3585" max="3585" width="5.5703125" style="2" customWidth="1"/>
    <col min="3586" max="3586" width="13.28515625" style="2" customWidth="1"/>
    <col min="3587" max="3587" width="17.140625" style="2" customWidth="1"/>
    <col min="3588" max="3588" width="43.28515625" style="2" customWidth="1"/>
    <col min="3589" max="3589" width="15" style="2" customWidth="1"/>
    <col min="3590" max="3590" width="18.28515625" style="2" customWidth="1"/>
    <col min="3591" max="3591" width="15.28515625" style="2" customWidth="1"/>
    <col min="3592" max="3592" width="19.85546875" style="2" customWidth="1"/>
    <col min="3593" max="3593" width="16.5703125" style="2" bestFit="1" customWidth="1"/>
    <col min="3594" max="3594" width="22" style="2" bestFit="1" customWidth="1"/>
    <col min="3595" max="3595" width="13.140625" style="2" bestFit="1" customWidth="1"/>
    <col min="3596" max="3596" width="22" style="2" bestFit="1" customWidth="1"/>
    <col min="3597" max="3597" width="16.42578125" style="2" bestFit="1" customWidth="1"/>
    <col min="3598" max="3598" width="17.85546875" style="2" bestFit="1" customWidth="1"/>
    <col min="3599" max="3840" width="9.140625" style="2"/>
    <col min="3841" max="3841" width="5.5703125" style="2" customWidth="1"/>
    <col min="3842" max="3842" width="13.28515625" style="2" customWidth="1"/>
    <col min="3843" max="3843" width="17.140625" style="2" customWidth="1"/>
    <col min="3844" max="3844" width="43.28515625" style="2" customWidth="1"/>
    <col min="3845" max="3845" width="15" style="2" customWidth="1"/>
    <col min="3846" max="3846" width="18.28515625" style="2" customWidth="1"/>
    <col min="3847" max="3847" width="15.28515625" style="2" customWidth="1"/>
    <col min="3848" max="3848" width="19.85546875" style="2" customWidth="1"/>
    <col min="3849" max="3849" width="16.5703125" style="2" bestFit="1" customWidth="1"/>
    <col min="3850" max="3850" width="22" style="2" bestFit="1" customWidth="1"/>
    <col min="3851" max="3851" width="13.140625" style="2" bestFit="1" customWidth="1"/>
    <col min="3852" max="3852" width="22" style="2" bestFit="1" customWidth="1"/>
    <col min="3853" max="3853" width="16.42578125" style="2" bestFit="1" customWidth="1"/>
    <col min="3854" max="3854" width="17.85546875" style="2" bestFit="1" customWidth="1"/>
    <col min="3855" max="4096" width="9.140625" style="2"/>
    <col min="4097" max="4097" width="5.5703125" style="2" customWidth="1"/>
    <col min="4098" max="4098" width="13.28515625" style="2" customWidth="1"/>
    <col min="4099" max="4099" width="17.140625" style="2" customWidth="1"/>
    <col min="4100" max="4100" width="43.28515625" style="2" customWidth="1"/>
    <col min="4101" max="4101" width="15" style="2" customWidth="1"/>
    <col min="4102" max="4102" width="18.28515625" style="2" customWidth="1"/>
    <col min="4103" max="4103" width="15.28515625" style="2" customWidth="1"/>
    <col min="4104" max="4104" width="19.85546875" style="2" customWidth="1"/>
    <col min="4105" max="4105" width="16.5703125" style="2" bestFit="1" customWidth="1"/>
    <col min="4106" max="4106" width="22" style="2" bestFit="1" customWidth="1"/>
    <col min="4107" max="4107" width="13.140625" style="2" bestFit="1" customWidth="1"/>
    <col min="4108" max="4108" width="22" style="2" bestFit="1" customWidth="1"/>
    <col min="4109" max="4109" width="16.42578125" style="2" bestFit="1" customWidth="1"/>
    <col min="4110" max="4110" width="17.85546875" style="2" bestFit="1" customWidth="1"/>
    <col min="4111" max="4352" width="9.140625" style="2"/>
    <col min="4353" max="4353" width="5.5703125" style="2" customWidth="1"/>
    <col min="4354" max="4354" width="13.28515625" style="2" customWidth="1"/>
    <col min="4355" max="4355" width="17.140625" style="2" customWidth="1"/>
    <col min="4356" max="4356" width="43.28515625" style="2" customWidth="1"/>
    <col min="4357" max="4357" width="15" style="2" customWidth="1"/>
    <col min="4358" max="4358" width="18.28515625" style="2" customWidth="1"/>
    <col min="4359" max="4359" width="15.28515625" style="2" customWidth="1"/>
    <col min="4360" max="4360" width="19.85546875" style="2" customWidth="1"/>
    <col min="4361" max="4361" width="16.5703125" style="2" bestFit="1" customWidth="1"/>
    <col min="4362" max="4362" width="22" style="2" bestFit="1" customWidth="1"/>
    <col min="4363" max="4363" width="13.140625" style="2" bestFit="1" customWidth="1"/>
    <col min="4364" max="4364" width="22" style="2" bestFit="1" customWidth="1"/>
    <col min="4365" max="4365" width="16.42578125" style="2" bestFit="1" customWidth="1"/>
    <col min="4366" max="4366" width="17.85546875" style="2" bestFit="1" customWidth="1"/>
    <col min="4367" max="4608" width="9.140625" style="2"/>
    <col min="4609" max="4609" width="5.5703125" style="2" customWidth="1"/>
    <col min="4610" max="4610" width="13.28515625" style="2" customWidth="1"/>
    <col min="4611" max="4611" width="17.140625" style="2" customWidth="1"/>
    <col min="4612" max="4612" width="43.28515625" style="2" customWidth="1"/>
    <col min="4613" max="4613" width="15" style="2" customWidth="1"/>
    <col min="4614" max="4614" width="18.28515625" style="2" customWidth="1"/>
    <col min="4615" max="4615" width="15.28515625" style="2" customWidth="1"/>
    <col min="4616" max="4616" width="19.85546875" style="2" customWidth="1"/>
    <col min="4617" max="4617" width="16.5703125" style="2" bestFit="1" customWidth="1"/>
    <col min="4618" max="4618" width="22" style="2" bestFit="1" customWidth="1"/>
    <col min="4619" max="4619" width="13.140625" style="2" bestFit="1" customWidth="1"/>
    <col min="4620" max="4620" width="22" style="2" bestFit="1" customWidth="1"/>
    <col min="4621" max="4621" width="16.42578125" style="2" bestFit="1" customWidth="1"/>
    <col min="4622" max="4622" width="17.85546875" style="2" bestFit="1" customWidth="1"/>
    <col min="4623" max="4864" width="9.140625" style="2"/>
    <col min="4865" max="4865" width="5.5703125" style="2" customWidth="1"/>
    <col min="4866" max="4866" width="13.28515625" style="2" customWidth="1"/>
    <col min="4867" max="4867" width="17.140625" style="2" customWidth="1"/>
    <col min="4868" max="4868" width="43.28515625" style="2" customWidth="1"/>
    <col min="4869" max="4869" width="15" style="2" customWidth="1"/>
    <col min="4870" max="4870" width="18.28515625" style="2" customWidth="1"/>
    <col min="4871" max="4871" width="15.28515625" style="2" customWidth="1"/>
    <col min="4872" max="4872" width="19.85546875" style="2" customWidth="1"/>
    <col min="4873" max="4873" width="16.5703125" style="2" bestFit="1" customWidth="1"/>
    <col min="4874" max="4874" width="22" style="2" bestFit="1" customWidth="1"/>
    <col min="4875" max="4875" width="13.140625" style="2" bestFit="1" customWidth="1"/>
    <col min="4876" max="4876" width="22" style="2" bestFit="1" customWidth="1"/>
    <col min="4877" max="4877" width="16.42578125" style="2" bestFit="1" customWidth="1"/>
    <col min="4878" max="4878" width="17.85546875" style="2" bestFit="1" customWidth="1"/>
    <col min="4879" max="5120" width="9.140625" style="2"/>
    <col min="5121" max="5121" width="5.5703125" style="2" customWidth="1"/>
    <col min="5122" max="5122" width="13.28515625" style="2" customWidth="1"/>
    <col min="5123" max="5123" width="17.140625" style="2" customWidth="1"/>
    <col min="5124" max="5124" width="43.28515625" style="2" customWidth="1"/>
    <col min="5125" max="5125" width="15" style="2" customWidth="1"/>
    <col min="5126" max="5126" width="18.28515625" style="2" customWidth="1"/>
    <col min="5127" max="5127" width="15.28515625" style="2" customWidth="1"/>
    <col min="5128" max="5128" width="19.85546875" style="2" customWidth="1"/>
    <col min="5129" max="5129" width="16.5703125" style="2" bestFit="1" customWidth="1"/>
    <col min="5130" max="5130" width="22" style="2" bestFit="1" customWidth="1"/>
    <col min="5131" max="5131" width="13.140625" style="2" bestFit="1" customWidth="1"/>
    <col min="5132" max="5132" width="22" style="2" bestFit="1" customWidth="1"/>
    <col min="5133" max="5133" width="16.42578125" style="2" bestFit="1" customWidth="1"/>
    <col min="5134" max="5134" width="17.85546875" style="2" bestFit="1" customWidth="1"/>
    <col min="5135" max="5376" width="9.140625" style="2"/>
    <col min="5377" max="5377" width="5.5703125" style="2" customWidth="1"/>
    <col min="5378" max="5378" width="13.28515625" style="2" customWidth="1"/>
    <col min="5379" max="5379" width="17.140625" style="2" customWidth="1"/>
    <col min="5380" max="5380" width="43.28515625" style="2" customWidth="1"/>
    <col min="5381" max="5381" width="15" style="2" customWidth="1"/>
    <col min="5382" max="5382" width="18.28515625" style="2" customWidth="1"/>
    <col min="5383" max="5383" width="15.28515625" style="2" customWidth="1"/>
    <col min="5384" max="5384" width="19.85546875" style="2" customWidth="1"/>
    <col min="5385" max="5385" width="16.5703125" style="2" bestFit="1" customWidth="1"/>
    <col min="5386" max="5386" width="22" style="2" bestFit="1" customWidth="1"/>
    <col min="5387" max="5387" width="13.140625" style="2" bestFit="1" customWidth="1"/>
    <col min="5388" max="5388" width="22" style="2" bestFit="1" customWidth="1"/>
    <col min="5389" max="5389" width="16.42578125" style="2" bestFit="1" customWidth="1"/>
    <col min="5390" max="5390" width="17.85546875" style="2" bestFit="1" customWidth="1"/>
    <col min="5391" max="5632" width="9.140625" style="2"/>
    <col min="5633" max="5633" width="5.5703125" style="2" customWidth="1"/>
    <col min="5634" max="5634" width="13.28515625" style="2" customWidth="1"/>
    <col min="5635" max="5635" width="17.140625" style="2" customWidth="1"/>
    <col min="5636" max="5636" width="43.28515625" style="2" customWidth="1"/>
    <col min="5637" max="5637" width="15" style="2" customWidth="1"/>
    <col min="5638" max="5638" width="18.28515625" style="2" customWidth="1"/>
    <col min="5639" max="5639" width="15.28515625" style="2" customWidth="1"/>
    <col min="5640" max="5640" width="19.85546875" style="2" customWidth="1"/>
    <col min="5641" max="5641" width="16.5703125" style="2" bestFit="1" customWidth="1"/>
    <col min="5642" max="5642" width="22" style="2" bestFit="1" customWidth="1"/>
    <col min="5643" max="5643" width="13.140625" style="2" bestFit="1" customWidth="1"/>
    <col min="5644" max="5644" width="22" style="2" bestFit="1" customWidth="1"/>
    <col min="5645" max="5645" width="16.42578125" style="2" bestFit="1" customWidth="1"/>
    <col min="5646" max="5646" width="17.85546875" style="2" bestFit="1" customWidth="1"/>
    <col min="5647" max="5888" width="9.140625" style="2"/>
    <col min="5889" max="5889" width="5.5703125" style="2" customWidth="1"/>
    <col min="5890" max="5890" width="13.28515625" style="2" customWidth="1"/>
    <col min="5891" max="5891" width="17.140625" style="2" customWidth="1"/>
    <col min="5892" max="5892" width="43.28515625" style="2" customWidth="1"/>
    <col min="5893" max="5893" width="15" style="2" customWidth="1"/>
    <col min="5894" max="5894" width="18.28515625" style="2" customWidth="1"/>
    <col min="5895" max="5895" width="15.28515625" style="2" customWidth="1"/>
    <col min="5896" max="5896" width="19.85546875" style="2" customWidth="1"/>
    <col min="5897" max="5897" width="16.5703125" style="2" bestFit="1" customWidth="1"/>
    <col min="5898" max="5898" width="22" style="2" bestFit="1" customWidth="1"/>
    <col min="5899" max="5899" width="13.140625" style="2" bestFit="1" customWidth="1"/>
    <col min="5900" max="5900" width="22" style="2" bestFit="1" customWidth="1"/>
    <col min="5901" max="5901" width="16.42578125" style="2" bestFit="1" customWidth="1"/>
    <col min="5902" max="5902" width="17.85546875" style="2" bestFit="1" customWidth="1"/>
    <col min="5903" max="6144" width="9.140625" style="2"/>
    <col min="6145" max="6145" width="5.5703125" style="2" customWidth="1"/>
    <col min="6146" max="6146" width="13.28515625" style="2" customWidth="1"/>
    <col min="6147" max="6147" width="17.140625" style="2" customWidth="1"/>
    <col min="6148" max="6148" width="43.28515625" style="2" customWidth="1"/>
    <col min="6149" max="6149" width="15" style="2" customWidth="1"/>
    <col min="6150" max="6150" width="18.28515625" style="2" customWidth="1"/>
    <col min="6151" max="6151" width="15.28515625" style="2" customWidth="1"/>
    <col min="6152" max="6152" width="19.85546875" style="2" customWidth="1"/>
    <col min="6153" max="6153" width="16.5703125" style="2" bestFit="1" customWidth="1"/>
    <col min="6154" max="6154" width="22" style="2" bestFit="1" customWidth="1"/>
    <col min="6155" max="6155" width="13.140625" style="2" bestFit="1" customWidth="1"/>
    <col min="6156" max="6156" width="22" style="2" bestFit="1" customWidth="1"/>
    <col min="6157" max="6157" width="16.42578125" style="2" bestFit="1" customWidth="1"/>
    <col min="6158" max="6158" width="17.85546875" style="2" bestFit="1" customWidth="1"/>
    <col min="6159" max="6400" width="9.140625" style="2"/>
    <col min="6401" max="6401" width="5.5703125" style="2" customWidth="1"/>
    <col min="6402" max="6402" width="13.28515625" style="2" customWidth="1"/>
    <col min="6403" max="6403" width="17.140625" style="2" customWidth="1"/>
    <col min="6404" max="6404" width="43.28515625" style="2" customWidth="1"/>
    <col min="6405" max="6405" width="15" style="2" customWidth="1"/>
    <col min="6406" max="6406" width="18.28515625" style="2" customWidth="1"/>
    <col min="6407" max="6407" width="15.28515625" style="2" customWidth="1"/>
    <col min="6408" max="6408" width="19.85546875" style="2" customWidth="1"/>
    <col min="6409" max="6409" width="16.5703125" style="2" bestFit="1" customWidth="1"/>
    <col min="6410" max="6410" width="22" style="2" bestFit="1" customWidth="1"/>
    <col min="6411" max="6411" width="13.140625" style="2" bestFit="1" customWidth="1"/>
    <col min="6412" max="6412" width="22" style="2" bestFit="1" customWidth="1"/>
    <col min="6413" max="6413" width="16.42578125" style="2" bestFit="1" customWidth="1"/>
    <col min="6414" max="6414" width="17.85546875" style="2" bestFit="1" customWidth="1"/>
    <col min="6415" max="6656" width="9.140625" style="2"/>
    <col min="6657" max="6657" width="5.5703125" style="2" customWidth="1"/>
    <col min="6658" max="6658" width="13.28515625" style="2" customWidth="1"/>
    <col min="6659" max="6659" width="17.140625" style="2" customWidth="1"/>
    <col min="6660" max="6660" width="43.28515625" style="2" customWidth="1"/>
    <col min="6661" max="6661" width="15" style="2" customWidth="1"/>
    <col min="6662" max="6662" width="18.28515625" style="2" customWidth="1"/>
    <col min="6663" max="6663" width="15.28515625" style="2" customWidth="1"/>
    <col min="6664" max="6664" width="19.85546875" style="2" customWidth="1"/>
    <col min="6665" max="6665" width="16.5703125" style="2" bestFit="1" customWidth="1"/>
    <col min="6666" max="6666" width="22" style="2" bestFit="1" customWidth="1"/>
    <col min="6667" max="6667" width="13.140625" style="2" bestFit="1" customWidth="1"/>
    <col min="6668" max="6668" width="22" style="2" bestFit="1" customWidth="1"/>
    <col min="6669" max="6669" width="16.42578125" style="2" bestFit="1" customWidth="1"/>
    <col min="6670" max="6670" width="17.85546875" style="2" bestFit="1" customWidth="1"/>
    <col min="6671" max="6912" width="9.140625" style="2"/>
    <col min="6913" max="6913" width="5.5703125" style="2" customWidth="1"/>
    <col min="6914" max="6914" width="13.28515625" style="2" customWidth="1"/>
    <col min="6915" max="6915" width="17.140625" style="2" customWidth="1"/>
    <col min="6916" max="6916" width="43.28515625" style="2" customWidth="1"/>
    <col min="6917" max="6917" width="15" style="2" customWidth="1"/>
    <col min="6918" max="6918" width="18.28515625" style="2" customWidth="1"/>
    <col min="6919" max="6919" width="15.28515625" style="2" customWidth="1"/>
    <col min="6920" max="6920" width="19.85546875" style="2" customWidth="1"/>
    <col min="6921" max="6921" width="16.5703125" style="2" bestFit="1" customWidth="1"/>
    <col min="6922" max="6922" width="22" style="2" bestFit="1" customWidth="1"/>
    <col min="6923" max="6923" width="13.140625" style="2" bestFit="1" customWidth="1"/>
    <col min="6924" max="6924" width="22" style="2" bestFit="1" customWidth="1"/>
    <col min="6925" max="6925" width="16.42578125" style="2" bestFit="1" customWidth="1"/>
    <col min="6926" max="6926" width="17.85546875" style="2" bestFit="1" customWidth="1"/>
    <col min="6927" max="7168" width="9.140625" style="2"/>
    <col min="7169" max="7169" width="5.5703125" style="2" customWidth="1"/>
    <col min="7170" max="7170" width="13.28515625" style="2" customWidth="1"/>
    <col min="7171" max="7171" width="17.140625" style="2" customWidth="1"/>
    <col min="7172" max="7172" width="43.28515625" style="2" customWidth="1"/>
    <col min="7173" max="7173" width="15" style="2" customWidth="1"/>
    <col min="7174" max="7174" width="18.28515625" style="2" customWidth="1"/>
    <col min="7175" max="7175" width="15.28515625" style="2" customWidth="1"/>
    <col min="7176" max="7176" width="19.85546875" style="2" customWidth="1"/>
    <col min="7177" max="7177" width="16.5703125" style="2" bestFit="1" customWidth="1"/>
    <col min="7178" max="7178" width="22" style="2" bestFit="1" customWidth="1"/>
    <col min="7179" max="7179" width="13.140625" style="2" bestFit="1" customWidth="1"/>
    <col min="7180" max="7180" width="22" style="2" bestFit="1" customWidth="1"/>
    <col min="7181" max="7181" width="16.42578125" style="2" bestFit="1" customWidth="1"/>
    <col min="7182" max="7182" width="17.85546875" style="2" bestFit="1" customWidth="1"/>
    <col min="7183" max="7424" width="9.140625" style="2"/>
    <col min="7425" max="7425" width="5.5703125" style="2" customWidth="1"/>
    <col min="7426" max="7426" width="13.28515625" style="2" customWidth="1"/>
    <col min="7427" max="7427" width="17.140625" style="2" customWidth="1"/>
    <col min="7428" max="7428" width="43.28515625" style="2" customWidth="1"/>
    <col min="7429" max="7429" width="15" style="2" customWidth="1"/>
    <col min="7430" max="7430" width="18.28515625" style="2" customWidth="1"/>
    <col min="7431" max="7431" width="15.28515625" style="2" customWidth="1"/>
    <col min="7432" max="7432" width="19.85546875" style="2" customWidth="1"/>
    <col min="7433" max="7433" width="16.5703125" style="2" bestFit="1" customWidth="1"/>
    <col min="7434" max="7434" width="22" style="2" bestFit="1" customWidth="1"/>
    <col min="7435" max="7435" width="13.140625" style="2" bestFit="1" customWidth="1"/>
    <col min="7436" max="7436" width="22" style="2" bestFit="1" customWidth="1"/>
    <col min="7437" max="7437" width="16.42578125" style="2" bestFit="1" customWidth="1"/>
    <col min="7438" max="7438" width="17.85546875" style="2" bestFit="1" customWidth="1"/>
    <col min="7439" max="7680" width="9.140625" style="2"/>
    <col min="7681" max="7681" width="5.5703125" style="2" customWidth="1"/>
    <col min="7682" max="7682" width="13.28515625" style="2" customWidth="1"/>
    <col min="7683" max="7683" width="17.140625" style="2" customWidth="1"/>
    <col min="7684" max="7684" width="43.28515625" style="2" customWidth="1"/>
    <col min="7685" max="7685" width="15" style="2" customWidth="1"/>
    <col min="7686" max="7686" width="18.28515625" style="2" customWidth="1"/>
    <col min="7687" max="7687" width="15.28515625" style="2" customWidth="1"/>
    <col min="7688" max="7688" width="19.85546875" style="2" customWidth="1"/>
    <col min="7689" max="7689" width="16.5703125" style="2" bestFit="1" customWidth="1"/>
    <col min="7690" max="7690" width="22" style="2" bestFit="1" customWidth="1"/>
    <col min="7691" max="7691" width="13.140625" style="2" bestFit="1" customWidth="1"/>
    <col min="7692" max="7692" width="22" style="2" bestFit="1" customWidth="1"/>
    <col min="7693" max="7693" width="16.42578125" style="2" bestFit="1" customWidth="1"/>
    <col min="7694" max="7694" width="17.85546875" style="2" bestFit="1" customWidth="1"/>
    <col min="7695" max="7936" width="9.140625" style="2"/>
    <col min="7937" max="7937" width="5.5703125" style="2" customWidth="1"/>
    <col min="7938" max="7938" width="13.28515625" style="2" customWidth="1"/>
    <col min="7939" max="7939" width="17.140625" style="2" customWidth="1"/>
    <col min="7940" max="7940" width="43.28515625" style="2" customWidth="1"/>
    <col min="7941" max="7941" width="15" style="2" customWidth="1"/>
    <col min="7942" max="7942" width="18.28515625" style="2" customWidth="1"/>
    <col min="7943" max="7943" width="15.28515625" style="2" customWidth="1"/>
    <col min="7944" max="7944" width="19.85546875" style="2" customWidth="1"/>
    <col min="7945" max="7945" width="16.5703125" style="2" bestFit="1" customWidth="1"/>
    <col min="7946" max="7946" width="22" style="2" bestFit="1" customWidth="1"/>
    <col min="7947" max="7947" width="13.140625" style="2" bestFit="1" customWidth="1"/>
    <col min="7948" max="7948" width="22" style="2" bestFit="1" customWidth="1"/>
    <col min="7949" max="7949" width="16.42578125" style="2" bestFit="1" customWidth="1"/>
    <col min="7950" max="7950" width="17.85546875" style="2" bestFit="1" customWidth="1"/>
    <col min="7951" max="8192" width="9.140625" style="2"/>
    <col min="8193" max="8193" width="5.5703125" style="2" customWidth="1"/>
    <col min="8194" max="8194" width="13.28515625" style="2" customWidth="1"/>
    <col min="8195" max="8195" width="17.140625" style="2" customWidth="1"/>
    <col min="8196" max="8196" width="43.28515625" style="2" customWidth="1"/>
    <col min="8197" max="8197" width="15" style="2" customWidth="1"/>
    <col min="8198" max="8198" width="18.28515625" style="2" customWidth="1"/>
    <col min="8199" max="8199" width="15.28515625" style="2" customWidth="1"/>
    <col min="8200" max="8200" width="19.85546875" style="2" customWidth="1"/>
    <col min="8201" max="8201" width="16.5703125" style="2" bestFit="1" customWidth="1"/>
    <col min="8202" max="8202" width="22" style="2" bestFit="1" customWidth="1"/>
    <col min="8203" max="8203" width="13.140625" style="2" bestFit="1" customWidth="1"/>
    <col min="8204" max="8204" width="22" style="2" bestFit="1" customWidth="1"/>
    <col min="8205" max="8205" width="16.42578125" style="2" bestFit="1" customWidth="1"/>
    <col min="8206" max="8206" width="17.85546875" style="2" bestFit="1" customWidth="1"/>
    <col min="8207" max="8448" width="9.140625" style="2"/>
    <col min="8449" max="8449" width="5.5703125" style="2" customWidth="1"/>
    <col min="8450" max="8450" width="13.28515625" style="2" customWidth="1"/>
    <col min="8451" max="8451" width="17.140625" style="2" customWidth="1"/>
    <col min="8452" max="8452" width="43.28515625" style="2" customWidth="1"/>
    <col min="8453" max="8453" width="15" style="2" customWidth="1"/>
    <col min="8454" max="8454" width="18.28515625" style="2" customWidth="1"/>
    <col min="8455" max="8455" width="15.28515625" style="2" customWidth="1"/>
    <col min="8456" max="8456" width="19.85546875" style="2" customWidth="1"/>
    <col min="8457" max="8457" width="16.5703125" style="2" bestFit="1" customWidth="1"/>
    <col min="8458" max="8458" width="22" style="2" bestFit="1" customWidth="1"/>
    <col min="8459" max="8459" width="13.140625" style="2" bestFit="1" customWidth="1"/>
    <col min="8460" max="8460" width="22" style="2" bestFit="1" customWidth="1"/>
    <col min="8461" max="8461" width="16.42578125" style="2" bestFit="1" customWidth="1"/>
    <col min="8462" max="8462" width="17.85546875" style="2" bestFit="1" customWidth="1"/>
    <col min="8463" max="8704" width="9.140625" style="2"/>
    <col min="8705" max="8705" width="5.5703125" style="2" customWidth="1"/>
    <col min="8706" max="8706" width="13.28515625" style="2" customWidth="1"/>
    <col min="8707" max="8707" width="17.140625" style="2" customWidth="1"/>
    <col min="8708" max="8708" width="43.28515625" style="2" customWidth="1"/>
    <col min="8709" max="8709" width="15" style="2" customWidth="1"/>
    <col min="8710" max="8710" width="18.28515625" style="2" customWidth="1"/>
    <col min="8711" max="8711" width="15.28515625" style="2" customWidth="1"/>
    <col min="8712" max="8712" width="19.85546875" style="2" customWidth="1"/>
    <col min="8713" max="8713" width="16.5703125" style="2" bestFit="1" customWidth="1"/>
    <col min="8714" max="8714" width="22" style="2" bestFit="1" customWidth="1"/>
    <col min="8715" max="8715" width="13.140625" style="2" bestFit="1" customWidth="1"/>
    <col min="8716" max="8716" width="22" style="2" bestFit="1" customWidth="1"/>
    <col min="8717" max="8717" width="16.42578125" style="2" bestFit="1" customWidth="1"/>
    <col min="8718" max="8718" width="17.85546875" style="2" bestFit="1" customWidth="1"/>
    <col min="8719" max="8960" width="9.140625" style="2"/>
    <col min="8961" max="8961" width="5.5703125" style="2" customWidth="1"/>
    <col min="8962" max="8962" width="13.28515625" style="2" customWidth="1"/>
    <col min="8963" max="8963" width="17.140625" style="2" customWidth="1"/>
    <col min="8964" max="8964" width="43.28515625" style="2" customWidth="1"/>
    <col min="8965" max="8965" width="15" style="2" customWidth="1"/>
    <col min="8966" max="8966" width="18.28515625" style="2" customWidth="1"/>
    <col min="8967" max="8967" width="15.28515625" style="2" customWidth="1"/>
    <col min="8968" max="8968" width="19.85546875" style="2" customWidth="1"/>
    <col min="8969" max="8969" width="16.5703125" style="2" bestFit="1" customWidth="1"/>
    <col min="8970" max="8970" width="22" style="2" bestFit="1" customWidth="1"/>
    <col min="8971" max="8971" width="13.140625" style="2" bestFit="1" customWidth="1"/>
    <col min="8972" max="8972" width="22" style="2" bestFit="1" customWidth="1"/>
    <col min="8973" max="8973" width="16.42578125" style="2" bestFit="1" customWidth="1"/>
    <col min="8974" max="8974" width="17.85546875" style="2" bestFit="1" customWidth="1"/>
    <col min="8975" max="9216" width="9.140625" style="2"/>
    <col min="9217" max="9217" width="5.5703125" style="2" customWidth="1"/>
    <col min="9218" max="9218" width="13.28515625" style="2" customWidth="1"/>
    <col min="9219" max="9219" width="17.140625" style="2" customWidth="1"/>
    <col min="9220" max="9220" width="43.28515625" style="2" customWidth="1"/>
    <col min="9221" max="9221" width="15" style="2" customWidth="1"/>
    <col min="9222" max="9222" width="18.28515625" style="2" customWidth="1"/>
    <col min="9223" max="9223" width="15.28515625" style="2" customWidth="1"/>
    <col min="9224" max="9224" width="19.85546875" style="2" customWidth="1"/>
    <col min="9225" max="9225" width="16.5703125" style="2" bestFit="1" customWidth="1"/>
    <col min="9226" max="9226" width="22" style="2" bestFit="1" customWidth="1"/>
    <col min="9227" max="9227" width="13.140625" style="2" bestFit="1" customWidth="1"/>
    <col min="9228" max="9228" width="22" style="2" bestFit="1" customWidth="1"/>
    <col min="9229" max="9229" width="16.42578125" style="2" bestFit="1" customWidth="1"/>
    <col min="9230" max="9230" width="17.85546875" style="2" bestFit="1" customWidth="1"/>
    <col min="9231" max="9472" width="9.140625" style="2"/>
    <col min="9473" max="9473" width="5.5703125" style="2" customWidth="1"/>
    <col min="9474" max="9474" width="13.28515625" style="2" customWidth="1"/>
    <col min="9475" max="9475" width="17.140625" style="2" customWidth="1"/>
    <col min="9476" max="9476" width="43.28515625" style="2" customWidth="1"/>
    <col min="9477" max="9477" width="15" style="2" customWidth="1"/>
    <col min="9478" max="9478" width="18.28515625" style="2" customWidth="1"/>
    <col min="9479" max="9479" width="15.28515625" style="2" customWidth="1"/>
    <col min="9480" max="9480" width="19.85546875" style="2" customWidth="1"/>
    <col min="9481" max="9481" width="16.5703125" style="2" bestFit="1" customWidth="1"/>
    <col min="9482" max="9482" width="22" style="2" bestFit="1" customWidth="1"/>
    <col min="9483" max="9483" width="13.140625" style="2" bestFit="1" customWidth="1"/>
    <col min="9484" max="9484" width="22" style="2" bestFit="1" customWidth="1"/>
    <col min="9485" max="9485" width="16.42578125" style="2" bestFit="1" customWidth="1"/>
    <col min="9486" max="9486" width="17.85546875" style="2" bestFit="1" customWidth="1"/>
    <col min="9487" max="9728" width="9.140625" style="2"/>
    <col min="9729" max="9729" width="5.5703125" style="2" customWidth="1"/>
    <col min="9730" max="9730" width="13.28515625" style="2" customWidth="1"/>
    <col min="9731" max="9731" width="17.140625" style="2" customWidth="1"/>
    <col min="9732" max="9732" width="43.28515625" style="2" customWidth="1"/>
    <col min="9733" max="9733" width="15" style="2" customWidth="1"/>
    <col min="9734" max="9734" width="18.28515625" style="2" customWidth="1"/>
    <col min="9735" max="9735" width="15.28515625" style="2" customWidth="1"/>
    <col min="9736" max="9736" width="19.85546875" style="2" customWidth="1"/>
    <col min="9737" max="9737" width="16.5703125" style="2" bestFit="1" customWidth="1"/>
    <col min="9738" max="9738" width="22" style="2" bestFit="1" customWidth="1"/>
    <col min="9739" max="9739" width="13.140625" style="2" bestFit="1" customWidth="1"/>
    <col min="9740" max="9740" width="22" style="2" bestFit="1" customWidth="1"/>
    <col min="9741" max="9741" width="16.42578125" style="2" bestFit="1" customWidth="1"/>
    <col min="9742" max="9742" width="17.85546875" style="2" bestFit="1" customWidth="1"/>
    <col min="9743" max="9984" width="9.140625" style="2"/>
    <col min="9985" max="9985" width="5.5703125" style="2" customWidth="1"/>
    <col min="9986" max="9986" width="13.28515625" style="2" customWidth="1"/>
    <col min="9987" max="9987" width="17.140625" style="2" customWidth="1"/>
    <col min="9988" max="9988" width="43.28515625" style="2" customWidth="1"/>
    <col min="9989" max="9989" width="15" style="2" customWidth="1"/>
    <col min="9990" max="9990" width="18.28515625" style="2" customWidth="1"/>
    <col min="9991" max="9991" width="15.28515625" style="2" customWidth="1"/>
    <col min="9992" max="9992" width="19.85546875" style="2" customWidth="1"/>
    <col min="9993" max="9993" width="16.5703125" style="2" bestFit="1" customWidth="1"/>
    <col min="9994" max="9994" width="22" style="2" bestFit="1" customWidth="1"/>
    <col min="9995" max="9995" width="13.140625" style="2" bestFit="1" customWidth="1"/>
    <col min="9996" max="9996" width="22" style="2" bestFit="1" customWidth="1"/>
    <col min="9997" max="9997" width="16.42578125" style="2" bestFit="1" customWidth="1"/>
    <col min="9998" max="9998" width="17.85546875" style="2" bestFit="1" customWidth="1"/>
    <col min="9999" max="10240" width="9.140625" style="2"/>
    <col min="10241" max="10241" width="5.5703125" style="2" customWidth="1"/>
    <col min="10242" max="10242" width="13.28515625" style="2" customWidth="1"/>
    <col min="10243" max="10243" width="17.140625" style="2" customWidth="1"/>
    <col min="10244" max="10244" width="43.28515625" style="2" customWidth="1"/>
    <col min="10245" max="10245" width="15" style="2" customWidth="1"/>
    <col min="10246" max="10246" width="18.28515625" style="2" customWidth="1"/>
    <col min="10247" max="10247" width="15.28515625" style="2" customWidth="1"/>
    <col min="10248" max="10248" width="19.85546875" style="2" customWidth="1"/>
    <col min="10249" max="10249" width="16.5703125" style="2" bestFit="1" customWidth="1"/>
    <col min="10250" max="10250" width="22" style="2" bestFit="1" customWidth="1"/>
    <col min="10251" max="10251" width="13.140625" style="2" bestFit="1" customWidth="1"/>
    <col min="10252" max="10252" width="22" style="2" bestFit="1" customWidth="1"/>
    <col min="10253" max="10253" width="16.42578125" style="2" bestFit="1" customWidth="1"/>
    <col min="10254" max="10254" width="17.85546875" style="2" bestFit="1" customWidth="1"/>
    <col min="10255" max="10496" width="9.140625" style="2"/>
    <col min="10497" max="10497" width="5.5703125" style="2" customWidth="1"/>
    <col min="10498" max="10498" width="13.28515625" style="2" customWidth="1"/>
    <col min="10499" max="10499" width="17.140625" style="2" customWidth="1"/>
    <col min="10500" max="10500" width="43.28515625" style="2" customWidth="1"/>
    <col min="10501" max="10501" width="15" style="2" customWidth="1"/>
    <col min="10502" max="10502" width="18.28515625" style="2" customWidth="1"/>
    <col min="10503" max="10503" width="15.28515625" style="2" customWidth="1"/>
    <col min="10504" max="10504" width="19.85546875" style="2" customWidth="1"/>
    <col min="10505" max="10505" width="16.5703125" style="2" bestFit="1" customWidth="1"/>
    <col min="10506" max="10506" width="22" style="2" bestFit="1" customWidth="1"/>
    <col min="10507" max="10507" width="13.140625" style="2" bestFit="1" customWidth="1"/>
    <col min="10508" max="10508" width="22" style="2" bestFit="1" customWidth="1"/>
    <col min="10509" max="10509" width="16.42578125" style="2" bestFit="1" customWidth="1"/>
    <col min="10510" max="10510" width="17.85546875" style="2" bestFit="1" customWidth="1"/>
    <col min="10511" max="10752" width="9.140625" style="2"/>
    <col min="10753" max="10753" width="5.5703125" style="2" customWidth="1"/>
    <col min="10754" max="10754" width="13.28515625" style="2" customWidth="1"/>
    <col min="10755" max="10755" width="17.140625" style="2" customWidth="1"/>
    <col min="10756" max="10756" width="43.28515625" style="2" customWidth="1"/>
    <col min="10757" max="10757" width="15" style="2" customWidth="1"/>
    <col min="10758" max="10758" width="18.28515625" style="2" customWidth="1"/>
    <col min="10759" max="10759" width="15.28515625" style="2" customWidth="1"/>
    <col min="10760" max="10760" width="19.85546875" style="2" customWidth="1"/>
    <col min="10761" max="10761" width="16.5703125" style="2" bestFit="1" customWidth="1"/>
    <col min="10762" max="10762" width="22" style="2" bestFit="1" customWidth="1"/>
    <col min="10763" max="10763" width="13.140625" style="2" bestFit="1" customWidth="1"/>
    <col min="10764" max="10764" width="22" style="2" bestFit="1" customWidth="1"/>
    <col min="10765" max="10765" width="16.42578125" style="2" bestFit="1" customWidth="1"/>
    <col min="10766" max="10766" width="17.85546875" style="2" bestFit="1" customWidth="1"/>
    <col min="10767" max="11008" width="9.140625" style="2"/>
    <col min="11009" max="11009" width="5.5703125" style="2" customWidth="1"/>
    <col min="11010" max="11010" width="13.28515625" style="2" customWidth="1"/>
    <col min="11011" max="11011" width="17.140625" style="2" customWidth="1"/>
    <col min="11012" max="11012" width="43.28515625" style="2" customWidth="1"/>
    <col min="11013" max="11013" width="15" style="2" customWidth="1"/>
    <col min="11014" max="11014" width="18.28515625" style="2" customWidth="1"/>
    <col min="11015" max="11015" width="15.28515625" style="2" customWidth="1"/>
    <col min="11016" max="11016" width="19.85546875" style="2" customWidth="1"/>
    <col min="11017" max="11017" width="16.5703125" style="2" bestFit="1" customWidth="1"/>
    <col min="11018" max="11018" width="22" style="2" bestFit="1" customWidth="1"/>
    <col min="11019" max="11019" width="13.140625" style="2" bestFit="1" customWidth="1"/>
    <col min="11020" max="11020" width="22" style="2" bestFit="1" customWidth="1"/>
    <col min="11021" max="11021" width="16.42578125" style="2" bestFit="1" customWidth="1"/>
    <col min="11022" max="11022" width="17.85546875" style="2" bestFit="1" customWidth="1"/>
    <col min="11023" max="11264" width="9.140625" style="2"/>
    <col min="11265" max="11265" width="5.5703125" style="2" customWidth="1"/>
    <col min="11266" max="11266" width="13.28515625" style="2" customWidth="1"/>
    <col min="11267" max="11267" width="17.140625" style="2" customWidth="1"/>
    <col min="11268" max="11268" width="43.28515625" style="2" customWidth="1"/>
    <col min="11269" max="11269" width="15" style="2" customWidth="1"/>
    <col min="11270" max="11270" width="18.28515625" style="2" customWidth="1"/>
    <col min="11271" max="11271" width="15.28515625" style="2" customWidth="1"/>
    <col min="11272" max="11272" width="19.85546875" style="2" customWidth="1"/>
    <col min="11273" max="11273" width="16.5703125" style="2" bestFit="1" customWidth="1"/>
    <col min="11274" max="11274" width="22" style="2" bestFit="1" customWidth="1"/>
    <col min="11275" max="11275" width="13.140625" style="2" bestFit="1" customWidth="1"/>
    <col min="11276" max="11276" width="22" style="2" bestFit="1" customWidth="1"/>
    <col min="11277" max="11277" width="16.42578125" style="2" bestFit="1" customWidth="1"/>
    <col min="11278" max="11278" width="17.85546875" style="2" bestFit="1" customWidth="1"/>
    <col min="11279" max="11520" width="9.140625" style="2"/>
    <col min="11521" max="11521" width="5.5703125" style="2" customWidth="1"/>
    <col min="11522" max="11522" width="13.28515625" style="2" customWidth="1"/>
    <col min="11523" max="11523" width="17.140625" style="2" customWidth="1"/>
    <col min="11524" max="11524" width="43.28515625" style="2" customWidth="1"/>
    <col min="11525" max="11525" width="15" style="2" customWidth="1"/>
    <col min="11526" max="11526" width="18.28515625" style="2" customWidth="1"/>
    <col min="11527" max="11527" width="15.28515625" style="2" customWidth="1"/>
    <col min="11528" max="11528" width="19.85546875" style="2" customWidth="1"/>
    <col min="11529" max="11529" width="16.5703125" style="2" bestFit="1" customWidth="1"/>
    <col min="11530" max="11530" width="22" style="2" bestFit="1" customWidth="1"/>
    <col min="11531" max="11531" width="13.140625" style="2" bestFit="1" customWidth="1"/>
    <col min="11532" max="11532" width="22" style="2" bestFit="1" customWidth="1"/>
    <col min="11533" max="11533" width="16.42578125" style="2" bestFit="1" customWidth="1"/>
    <col min="11534" max="11534" width="17.85546875" style="2" bestFit="1" customWidth="1"/>
    <col min="11535" max="11776" width="9.140625" style="2"/>
    <col min="11777" max="11777" width="5.5703125" style="2" customWidth="1"/>
    <col min="11778" max="11778" width="13.28515625" style="2" customWidth="1"/>
    <col min="11779" max="11779" width="17.140625" style="2" customWidth="1"/>
    <col min="11780" max="11780" width="43.28515625" style="2" customWidth="1"/>
    <col min="11781" max="11781" width="15" style="2" customWidth="1"/>
    <col min="11782" max="11782" width="18.28515625" style="2" customWidth="1"/>
    <col min="11783" max="11783" width="15.28515625" style="2" customWidth="1"/>
    <col min="11784" max="11784" width="19.85546875" style="2" customWidth="1"/>
    <col min="11785" max="11785" width="16.5703125" style="2" bestFit="1" customWidth="1"/>
    <col min="11786" max="11786" width="22" style="2" bestFit="1" customWidth="1"/>
    <col min="11787" max="11787" width="13.140625" style="2" bestFit="1" customWidth="1"/>
    <col min="11788" max="11788" width="22" style="2" bestFit="1" customWidth="1"/>
    <col min="11789" max="11789" width="16.42578125" style="2" bestFit="1" customWidth="1"/>
    <col min="11790" max="11790" width="17.85546875" style="2" bestFit="1" customWidth="1"/>
    <col min="11791" max="12032" width="9.140625" style="2"/>
    <col min="12033" max="12033" width="5.5703125" style="2" customWidth="1"/>
    <col min="12034" max="12034" width="13.28515625" style="2" customWidth="1"/>
    <col min="12035" max="12035" width="17.140625" style="2" customWidth="1"/>
    <col min="12036" max="12036" width="43.28515625" style="2" customWidth="1"/>
    <col min="12037" max="12037" width="15" style="2" customWidth="1"/>
    <col min="12038" max="12038" width="18.28515625" style="2" customWidth="1"/>
    <col min="12039" max="12039" width="15.28515625" style="2" customWidth="1"/>
    <col min="12040" max="12040" width="19.85546875" style="2" customWidth="1"/>
    <col min="12041" max="12041" width="16.5703125" style="2" bestFit="1" customWidth="1"/>
    <col min="12042" max="12042" width="22" style="2" bestFit="1" customWidth="1"/>
    <col min="12043" max="12043" width="13.140625" style="2" bestFit="1" customWidth="1"/>
    <col min="12044" max="12044" width="22" style="2" bestFit="1" customWidth="1"/>
    <col min="12045" max="12045" width="16.42578125" style="2" bestFit="1" customWidth="1"/>
    <col min="12046" max="12046" width="17.85546875" style="2" bestFit="1" customWidth="1"/>
    <col min="12047" max="12288" width="9.140625" style="2"/>
    <col min="12289" max="12289" width="5.5703125" style="2" customWidth="1"/>
    <col min="12290" max="12290" width="13.28515625" style="2" customWidth="1"/>
    <col min="12291" max="12291" width="17.140625" style="2" customWidth="1"/>
    <col min="12292" max="12292" width="43.28515625" style="2" customWidth="1"/>
    <col min="12293" max="12293" width="15" style="2" customWidth="1"/>
    <col min="12294" max="12294" width="18.28515625" style="2" customWidth="1"/>
    <col min="12295" max="12295" width="15.28515625" style="2" customWidth="1"/>
    <col min="12296" max="12296" width="19.85546875" style="2" customWidth="1"/>
    <col min="12297" max="12297" width="16.5703125" style="2" bestFit="1" customWidth="1"/>
    <col min="12298" max="12298" width="22" style="2" bestFit="1" customWidth="1"/>
    <col min="12299" max="12299" width="13.140625" style="2" bestFit="1" customWidth="1"/>
    <col min="12300" max="12300" width="22" style="2" bestFit="1" customWidth="1"/>
    <col min="12301" max="12301" width="16.42578125" style="2" bestFit="1" customWidth="1"/>
    <col min="12302" max="12302" width="17.85546875" style="2" bestFit="1" customWidth="1"/>
    <col min="12303" max="12544" width="9.140625" style="2"/>
    <col min="12545" max="12545" width="5.5703125" style="2" customWidth="1"/>
    <col min="12546" max="12546" width="13.28515625" style="2" customWidth="1"/>
    <col min="12547" max="12547" width="17.140625" style="2" customWidth="1"/>
    <col min="12548" max="12548" width="43.28515625" style="2" customWidth="1"/>
    <col min="12549" max="12549" width="15" style="2" customWidth="1"/>
    <col min="12550" max="12550" width="18.28515625" style="2" customWidth="1"/>
    <col min="12551" max="12551" width="15.28515625" style="2" customWidth="1"/>
    <col min="12552" max="12552" width="19.85546875" style="2" customWidth="1"/>
    <col min="12553" max="12553" width="16.5703125" style="2" bestFit="1" customWidth="1"/>
    <col min="12554" max="12554" width="22" style="2" bestFit="1" customWidth="1"/>
    <col min="12555" max="12555" width="13.140625" style="2" bestFit="1" customWidth="1"/>
    <col min="12556" max="12556" width="22" style="2" bestFit="1" customWidth="1"/>
    <col min="12557" max="12557" width="16.42578125" style="2" bestFit="1" customWidth="1"/>
    <col min="12558" max="12558" width="17.85546875" style="2" bestFit="1" customWidth="1"/>
    <col min="12559" max="12800" width="9.140625" style="2"/>
    <col min="12801" max="12801" width="5.5703125" style="2" customWidth="1"/>
    <col min="12802" max="12802" width="13.28515625" style="2" customWidth="1"/>
    <col min="12803" max="12803" width="17.140625" style="2" customWidth="1"/>
    <col min="12804" max="12804" width="43.28515625" style="2" customWidth="1"/>
    <col min="12805" max="12805" width="15" style="2" customWidth="1"/>
    <col min="12806" max="12806" width="18.28515625" style="2" customWidth="1"/>
    <col min="12807" max="12807" width="15.28515625" style="2" customWidth="1"/>
    <col min="12808" max="12808" width="19.85546875" style="2" customWidth="1"/>
    <col min="12809" max="12809" width="16.5703125" style="2" bestFit="1" customWidth="1"/>
    <col min="12810" max="12810" width="22" style="2" bestFit="1" customWidth="1"/>
    <col min="12811" max="12811" width="13.140625" style="2" bestFit="1" customWidth="1"/>
    <col min="12812" max="12812" width="22" style="2" bestFit="1" customWidth="1"/>
    <col min="12813" max="12813" width="16.42578125" style="2" bestFit="1" customWidth="1"/>
    <col min="12814" max="12814" width="17.85546875" style="2" bestFit="1" customWidth="1"/>
    <col min="12815" max="13056" width="9.140625" style="2"/>
    <col min="13057" max="13057" width="5.5703125" style="2" customWidth="1"/>
    <col min="13058" max="13058" width="13.28515625" style="2" customWidth="1"/>
    <col min="13059" max="13059" width="17.140625" style="2" customWidth="1"/>
    <col min="13060" max="13060" width="43.28515625" style="2" customWidth="1"/>
    <col min="13061" max="13061" width="15" style="2" customWidth="1"/>
    <col min="13062" max="13062" width="18.28515625" style="2" customWidth="1"/>
    <col min="13063" max="13063" width="15.28515625" style="2" customWidth="1"/>
    <col min="13064" max="13064" width="19.85546875" style="2" customWidth="1"/>
    <col min="13065" max="13065" width="16.5703125" style="2" bestFit="1" customWidth="1"/>
    <col min="13066" max="13066" width="22" style="2" bestFit="1" customWidth="1"/>
    <col min="13067" max="13067" width="13.140625" style="2" bestFit="1" customWidth="1"/>
    <col min="13068" max="13068" width="22" style="2" bestFit="1" customWidth="1"/>
    <col min="13069" max="13069" width="16.42578125" style="2" bestFit="1" customWidth="1"/>
    <col min="13070" max="13070" width="17.85546875" style="2" bestFit="1" customWidth="1"/>
    <col min="13071" max="13312" width="9.140625" style="2"/>
    <col min="13313" max="13313" width="5.5703125" style="2" customWidth="1"/>
    <col min="13314" max="13314" width="13.28515625" style="2" customWidth="1"/>
    <col min="13315" max="13315" width="17.140625" style="2" customWidth="1"/>
    <col min="13316" max="13316" width="43.28515625" style="2" customWidth="1"/>
    <col min="13317" max="13317" width="15" style="2" customWidth="1"/>
    <col min="13318" max="13318" width="18.28515625" style="2" customWidth="1"/>
    <col min="13319" max="13319" width="15.28515625" style="2" customWidth="1"/>
    <col min="13320" max="13320" width="19.85546875" style="2" customWidth="1"/>
    <col min="13321" max="13321" width="16.5703125" style="2" bestFit="1" customWidth="1"/>
    <col min="13322" max="13322" width="22" style="2" bestFit="1" customWidth="1"/>
    <col min="13323" max="13323" width="13.140625" style="2" bestFit="1" customWidth="1"/>
    <col min="13324" max="13324" width="22" style="2" bestFit="1" customWidth="1"/>
    <col min="13325" max="13325" width="16.42578125" style="2" bestFit="1" customWidth="1"/>
    <col min="13326" max="13326" width="17.85546875" style="2" bestFit="1" customWidth="1"/>
    <col min="13327" max="13568" width="9.140625" style="2"/>
    <col min="13569" max="13569" width="5.5703125" style="2" customWidth="1"/>
    <col min="13570" max="13570" width="13.28515625" style="2" customWidth="1"/>
    <col min="13571" max="13571" width="17.140625" style="2" customWidth="1"/>
    <col min="13572" max="13572" width="43.28515625" style="2" customWidth="1"/>
    <col min="13573" max="13573" width="15" style="2" customWidth="1"/>
    <col min="13574" max="13574" width="18.28515625" style="2" customWidth="1"/>
    <col min="13575" max="13575" width="15.28515625" style="2" customWidth="1"/>
    <col min="13576" max="13576" width="19.85546875" style="2" customWidth="1"/>
    <col min="13577" max="13577" width="16.5703125" style="2" bestFit="1" customWidth="1"/>
    <col min="13578" max="13578" width="22" style="2" bestFit="1" customWidth="1"/>
    <col min="13579" max="13579" width="13.140625" style="2" bestFit="1" customWidth="1"/>
    <col min="13580" max="13580" width="22" style="2" bestFit="1" customWidth="1"/>
    <col min="13581" max="13581" width="16.42578125" style="2" bestFit="1" customWidth="1"/>
    <col min="13582" max="13582" width="17.85546875" style="2" bestFit="1" customWidth="1"/>
    <col min="13583" max="13824" width="9.140625" style="2"/>
    <col min="13825" max="13825" width="5.5703125" style="2" customWidth="1"/>
    <col min="13826" max="13826" width="13.28515625" style="2" customWidth="1"/>
    <col min="13827" max="13827" width="17.140625" style="2" customWidth="1"/>
    <col min="13828" max="13828" width="43.28515625" style="2" customWidth="1"/>
    <col min="13829" max="13829" width="15" style="2" customWidth="1"/>
    <col min="13830" max="13830" width="18.28515625" style="2" customWidth="1"/>
    <col min="13831" max="13831" width="15.28515625" style="2" customWidth="1"/>
    <col min="13832" max="13832" width="19.85546875" style="2" customWidth="1"/>
    <col min="13833" max="13833" width="16.5703125" style="2" bestFit="1" customWidth="1"/>
    <col min="13834" max="13834" width="22" style="2" bestFit="1" customWidth="1"/>
    <col min="13835" max="13835" width="13.140625" style="2" bestFit="1" customWidth="1"/>
    <col min="13836" max="13836" width="22" style="2" bestFit="1" customWidth="1"/>
    <col min="13837" max="13837" width="16.42578125" style="2" bestFit="1" customWidth="1"/>
    <col min="13838" max="13838" width="17.85546875" style="2" bestFit="1" customWidth="1"/>
    <col min="13839" max="14080" width="9.140625" style="2"/>
    <col min="14081" max="14081" width="5.5703125" style="2" customWidth="1"/>
    <col min="14082" max="14082" width="13.28515625" style="2" customWidth="1"/>
    <col min="14083" max="14083" width="17.140625" style="2" customWidth="1"/>
    <col min="14084" max="14084" width="43.28515625" style="2" customWidth="1"/>
    <col min="14085" max="14085" width="15" style="2" customWidth="1"/>
    <col min="14086" max="14086" width="18.28515625" style="2" customWidth="1"/>
    <col min="14087" max="14087" width="15.28515625" style="2" customWidth="1"/>
    <col min="14088" max="14088" width="19.85546875" style="2" customWidth="1"/>
    <col min="14089" max="14089" width="16.5703125" style="2" bestFit="1" customWidth="1"/>
    <col min="14090" max="14090" width="22" style="2" bestFit="1" customWidth="1"/>
    <col min="14091" max="14091" width="13.140625" style="2" bestFit="1" customWidth="1"/>
    <col min="14092" max="14092" width="22" style="2" bestFit="1" customWidth="1"/>
    <col min="14093" max="14093" width="16.42578125" style="2" bestFit="1" customWidth="1"/>
    <col min="14094" max="14094" width="17.85546875" style="2" bestFit="1" customWidth="1"/>
    <col min="14095" max="14336" width="9.140625" style="2"/>
    <col min="14337" max="14337" width="5.5703125" style="2" customWidth="1"/>
    <col min="14338" max="14338" width="13.28515625" style="2" customWidth="1"/>
    <col min="14339" max="14339" width="17.140625" style="2" customWidth="1"/>
    <col min="14340" max="14340" width="43.28515625" style="2" customWidth="1"/>
    <col min="14341" max="14341" width="15" style="2" customWidth="1"/>
    <col min="14342" max="14342" width="18.28515625" style="2" customWidth="1"/>
    <col min="14343" max="14343" width="15.28515625" style="2" customWidth="1"/>
    <col min="14344" max="14344" width="19.85546875" style="2" customWidth="1"/>
    <col min="14345" max="14345" width="16.5703125" style="2" bestFit="1" customWidth="1"/>
    <col min="14346" max="14346" width="22" style="2" bestFit="1" customWidth="1"/>
    <col min="14347" max="14347" width="13.140625" style="2" bestFit="1" customWidth="1"/>
    <col min="14348" max="14348" width="22" style="2" bestFit="1" customWidth="1"/>
    <col min="14349" max="14349" width="16.42578125" style="2" bestFit="1" customWidth="1"/>
    <col min="14350" max="14350" width="17.85546875" style="2" bestFit="1" customWidth="1"/>
    <col min="14351" max="14592" width="9.140625" style="2"/>
    <col min="14593" max="14593" width="5.5703125" style="2" customWidth="1"/>
    <col min="14594" max="14594" width="13.28515625" style="2" customWidth="1"/>
    <col min="14595" max="14595" width="17.140625" style="2" customWidth="1"/>
    <col min="14596" max="14596" width="43.28515625" style="2" customWidth="1"/>
    <col min="14597" max="14597" width="15" style="2" customWidth="1"/>
    <col min="14598" max="14598" width="18.28515625" style="2" customWidth="1"/>
    <col min="14599" max="14599" width="15.28515625" style="2" customWidth="1"/>
    <col min="14600" max="14600" width="19.85546875" style="2" customWidth="1"/>
    <col min="14601" max="14601" width="16.5703125" style="2" bestFit="1" customWidth="1"/>
    <col min="14602" max="14602" width="22" style="2" bestFit="1" customWidth="1"/>
    <col min="14603" max="14603" width="13.140625" style="2" bestFit="1" customWidth="1"/>
    <col min="14604" max="14604" width="22" style="2" bestFit="1" customWidth="1"/>
    <col min="14605" max="14605" width="16.42578125" style="2" bestFit="1" customWidth="1"/>
    <col min="14606" max="14606" width="17.85546875" style="2" bestFit="1" customWidth="1"/>
    <col min="14607" max="14848" width="9.140625" style="2"/>
    <col min="14849" max="14849" width="5.5703125" style="2" customWidth="1"/>
    <col min="14850" max="14850" width="13.28515625" style="2" customWidth="1"/>
    <col min="14851" max="14851" width="17.140625" style="2" customWidth="1"/>
    <col min="14852" max="14852" width="43.28515625" style="2" customWidth="1"/>
    <col min="14853" max="14853" width="15" style="2" customWidth="1"/>
    <col min="14854" max="14854" width="18.28515625" style="2" customWidth="1"/>
    <col min="14855" max="14855" width="15.28515625" style="2" customWidth="1"/>
    <col min="14856" max="14856" width="19.85546875" style="2" customWidth="1"/>
    <col min="14857" max="14857" width="16.5703125" style="2" bestFit="1" customWidth="1"/>
    <col min="14858" max="14858" width="22" style="2" bestFit="1" customWidth="1"/>
    <col min="14859" max="14859" width="13.140625" style="2" bestFit="1" customWidth="1"/>
    <col min="14860" max="14860" width="22" style="2" bestFit="1" customWidth="1"/>
    <col min="14861" max="14861" width="16.42578125" style="2" bestFit="1" customWidth="1"/>
    <col min="14862" max="14862" width="17.85546875" style="2" bestFit="1" customWidth="1"/>
    <col min="14863" max="15104" width="9.140625" style="2"/>
    <col min="15105" max="15105" width="5.5703125" style="2" customWidth="1"/>
    <col min="15106" max="15106" width="13.28515625" style="2" customWidth="1"/>
    <col min="15107" max="15107" width="17.140625" style="2" customWidth="1"/>
    <col min="15108" max="15108" width="43.28515625" style="2" customWidth="1"/>
    <col min="15109" max="15109" width="15" style="2" customWidth="1"/>
    <col min="15110" max="15110" width="18.28515625" style="2" customWidth="1"/>
    <col min="15111" max="15111" width="15.28515625" style="2" customWidth="1"/>
    <col min="15112" max="15112" width="19.85546875" style="2" customWidth="1"/>
    <col min="15113" max="15113" width="16.5703125" style="2" bestFit="1" customWidth="1"/>
    <col min="15114" max="15114" width="22" style="2" bestFit="1" customWidth="1"/>
    <col min="15115" max="15115" width="13.140625" style="2" bestFit="1" customWidth="1"/>
    <col min="15116" max="15116" width="22" style="2" bestFit="1" customWidth="1"/>
    <col min="15117" max="15117" width="16.42578125" style="2" bestFit="1" customWidth="1"/>
    <col min="15118" max="15118" width="17.85546875" style="2" bestFit="1" customWidth="1"/>
    <col min="15119" max="15360" width="9.140625" style="2"/>
    <col min="15361" max="15361" width="5.5703125" style="2" customWidth="1"/>
    <col min="15362" max="15362" width="13.28515625" style="2" customWidth="1"/>
    <col min="15363" max="15363" width="17.140625" style="2" customWidth="1"/>
    <col min="15364" max="15364" width="43.28515625" style="2" customWidth="1"/>
    <col min="15365" max="15365" width="15" style="2" customWidth="1"/>
    <col min="15366" max="15366" width="18.28515625" style="2" customWidth="1"/>
    <col min="15367" max="15367" width="15.28515625" style="2" customWidth="1"/>
    <col min="15368" max="15368" width="19.85546875" style="2" customWidth="1"/>
    <col min="15369" max="15369" width="16.5703125" style="2" bestFit="1" customWidth="1"/>
    <col min="15370" max="15370" width="22" style="2" bestFit="1" customWidth="1"/>
    <col min="15371" max="15371" width="13.140625" style="2" bestFit="1" customWidth="1"/>
    <col min="15372" max="15372" width="22" style="2" bestFit="1" customWidth="1"/>
    <col min="15373" max="15373" width="16.42578125" style="2" bestFit="1" customWidth="1"/>
    <col min="15374" max="15374" width="17.85546875" style="2" bestFit="1" customWidth="1"/>
    <col min="15375" max="15616" width="9.140625" style="2"/>
    <col min="15617" max="15617" width="5.5703125" style="2" customWidth="1"/>
    <col min="15618" max="15618" width="13.28515625" style="2" customWidth="1"/>
    <col min="15619" max="15619" width="17.140625" style="2" customWidth="1"/>
    <col min="15620" max="15620" width="43.28515625" style="2" customWidth="1"/>
    <col min="15621" max="15621" width="15" style="2" customWidth="1"/>
    <col min="15622" max="15622" width="18.28515625" style="2" customWidth="1"/>
    <col min="15623" max="15623" width="15.28515625" style="2" customWidth="1"/>
    <col min="15624" max="15624" width="19.85546875" style="2" customWidth="1"/>
    <col min="15625" max="15625" width="16.5703125" style="2" bestFit="1" customWidth="1"/>
    <col min="15626" max="15626" width="22" style="2" bestFit="1" customWidth="1"/>
    <col min="15627" max="15627" width="13.140625" style="2" bestFit="1" customWidth="1"/>
    <col min="15628" max="15628" width="22" style="2" bestFit="1" customWidth="1"/>
    <col min="15629" max="15629" width="16.42578125" style="2" bestFit="1" customWidth="1"/>
    <col min="15630" max="15630" width="17.85546875" style="2" bestFit="1" customWidth="1"/>
    <col min="15631" max="15872" width="9.140625" style="2"/>
    <col min="15873" max="15873" width="5.5703125" style="2" customWidth="1"/>
    <col min="15874" max="15874" width="13.28515625" style="2" customWidth="1"/>
    <col min="15875" max="15875" width="17.140625" style="2" customWidth="1"/>
    <col min="15876" max="15876" width="43.28515625" style="2" customWidth="1"/>
    <col min="15877" max="15877" width="15" style="2" customWidth="1"/>
    <col min="15878" max="15878" width="18.28515625" style="2" customWidth="1"/>
    <col min="15879" max="15879" width="15.28515625" style="2" customWidth="1"/>
    <col min="15880" max="15880" width="19.85546875" style="2" customWidth="1"/>
    <col min="15881" max="15881" width="16.5703125" style="2" bestFit="1" customWidth="1"/>
    <col min="15882" max="15882" width="22" style="2" bestFit="1" customWidth="1"/>
    <col min="15883" max="15883" width="13.140625" style="2" bestFit="1" customWidth="1"/>
    <col min="15884" max="15884" width="22" style="2" bestFit="1" customWidth="1"/>
    <col min="15885" max="15885" width="16.42578125" style="2" bestFit="1" customWidth="1"/>
    <col min="15886" max="15886" width="17.85546875" style="2" bestFit="1" customWidth="1"/>
    <col min="15887" max="16128" width="9.140625" style="2"/>
    <col min="16129" max="16129" width="5.5703125" style="2" customWidth="1"/>
    <col min="16130" max="16130" width="13.28515625" style="2" customWidth="1"/>
    <col min="16131" max="16131" width="17.140625" style="2" customWidth="1"/>
    <col min="16132" max="16132" width="43.28515625" style="2" customWidth="1"/>
    <col min="16133" max="16133" width="15" style="2" customWidth="1"/>
    <col min="16134" max="16134" width="18.28515625" style="2" customWidth="1"/>
    <col min="16135" max="16135" width="15.28515625" style="2" customWidth="1"/>
    <col min="16136" max="16136" width="19.85546875" style="2" customWidth="1"/>
    <col min="16137" max="16137" width="16.5703125" style="2" bestFit="1" customWidth="1"/>
    <col min="16138" max="16138" width="22" style="2" bestFit="1" customWidth="1"/>
    <col min="16139" max="16139" width="13.140625" style="2" bestFit="1" customWidth="1"/>
    <col min="16140" max="16140" width="22" style="2" bestFit="1" customWidth="1"/>
    <col min="16141" max="16141" width="16.42578125" style="2" bestFit="1" customWidth="1"/>
    <col min="16142" max="16142" width="17.85546875" style="2" bestFit="1" customWidth="1"/>
    <col min="16143" max="16384" width="9.140625" style="2"/>
  </cols>
  <sheetData>
    <row r="1" spans="1:12" s="1" customFormat="1" ht="18.75">
      <c r="A1" s="127" t="s">
        <v>37</v>
      </c>
      <c r="B1" s="127"/>
      <c r="C1" s="127"/>
      <c r="D1" s="127"/>
      <c r="E1" s="127"/>
      <c r="F1" s="127"/>
      <c r="G1" s="127"/>
      <c r="H1" s="127"/>
    </row>
    <row r="2" spans="1:12" ht="16.5" thickBot="1"/>
    <row r="3" spans="1:12" s="8" customFormat="1" ht="84" customHeight="1" thickBot="1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J3" s="128" t="s">
        <v>9</v>
      </c>
      <c r="K3" s="129"/>
      <c r="L3" s="129"/>
    </row>
    <row r="4" spans="1:12" ht="15.75" customHeight="1">
      <c r="A4" s="130">
        <v>1</v>
      </c>
      <c r="B4" s="133" t="s">
        <v>38</v>
      </c>
      <c r="C4" s="136" t="s">
        <v>11</v>
      </c>
      <c r="D4" s="9" t="s">
        <v>12</v>
      </c>
      <c r="E4" s="10" t="s">
        <v>13</v>
      </c>
      <c r="F4" s="11">
        <v>56.423000000000002</v>
      </c>
      <c r="G4" s="12">
        <v>51778.46</v>
      </c>
      <c r="H4" s="13">
        <f>F4*G4</f>
        <v>2921496.0485800002</v>
      </c>
    </row>
    <row r="5" spans="1:12" ht="15.75" customHeight="1">
      <c r="A5" s="131"/>
      <c r="B5" s="134"/>
      <c r="C5" s="137"/>
      <c r="D5" s="14" t="s">
        <v>14</v>
      </c>
      <c r="E5" s="15" t="s">
        <v>15</v>
      </c>
      <c r="F5" s="16">
        <v>0.01</v>
      </c>
      <c r="G5" s="17">
        <v>81.8</v>
      </c>
      <c r="H5" s="18">
        <f>F5*G5</f>
        <v>0.81799999999999995</v>
      </c>
    </row>
    <row r="6" spans="1:12" ht="20.25" customHeight="1">
      <c r="A6" s="131"/>
      <c r="B6" s="134"/>
      <c r="C6" s="137"/>
      <c r="D6" s="19" t="s">
        <v>16</v>
      </c>
      <c r="E6" s="20" t="s">
        <v>15</v>
      </c>
      <c r="F6" s="16">
        <f>4583.448+72.42</f>
        <v>4655.8680000000004</v>
      </c>
      <c r="G6" s="17">
        <v>81.8</v>
      </c>
      <c r="H6" s="18">
        <f>F6*G6</f>
        <v>380850.0024</v>
      </c>
      <c r="J6" s="21"/>
    </row>
    <row r="7" spans="1:12" ht="16.5" customHeight="1">
      <c r="A7" s="131"/>
      <c r="B7" s="134"/>
      <c r="C7" s="137"/>
      <c r="D7" s="19" t="s">
        <v>17</v>
      </c>
      <c r="E7" s="20" t="s">
        <v>15</v>
      </c>
      <c r="F7" s="16">
        <f>1588.255+4.999+1.653+848.602</f>
        <v>2443.509</v>
      </c>
      <c r="G7" s="17">
        <v>81.8</v>
      </c>
      <c r="H7" s="18">
        <f>F7*G7</f>
        <v>199879.0362</v>
      </c>
      <c r="J7" s="21"/>
    </row>
    <row r="8" spans="1:12">
      <c r="A8" s="131"/>
      <c r="B8" s="134"/>
      <c r="C8" s="137"/>
      <c r="D8" s="19" t="s">
        <v>18</v>
      </c>
      <c r="E8" s="20" t="s">
        <v>15</v>
      </c>
      <c r="F8" s="16">
        <v>1082.9929999999999</v>
      </c>
      <c r="G8" s="17">
        <v>81.8</v>
      </c>
      <c r="H8" s="18">
        <f>F8*G8</f>
        <v>88588.827399999995</v>
      </c>
    </row>
    <row r="9" spans="1:12">
      <c r="A9" s="131"/>
      <c r="B9" s="134"/>
      <c r="C9" s="137"/>
      <c r="D9" s="22" t="s">
        <v>19</v>
      </c>
      <c r="E9" s="23"/>
      <c r="F9" s="24">
        <f>F4</f>
        <v>56.423000000000002</v>
      </c>
      <c r="G9" s="25"/>
      <c r="H9" s="26">
        <f>H4</f>
        <v>2921496.0485800002</v>
      </c>
      <c r="J9" s="27"/>
    </row>
    <row r="10" spans="1:12" ht="16.5" thickBot="1">
      <c r="A10" s="132"/>
      <c r="B10" s="135"/>
      <c r="C10" s="138"/>
      <c r="D10" s="28" t="s">
        <v>20</v>
      </c>
      <c r="E10" s="29"/>
      <c r="F10" s="30">
        <f>F6+F7+F8+F5</f>
        <v>8182.380000000001</v>
      </c>
      <c r="G10" s="31"/>
      <c r="H10" s="32">
        <f>H6+H7+H8+H5</f>
        <v>669318.68399999989</v>
      </c>
      <c r="J10" s="21"/>
    </row>
    <row r="11" spans="1:12" ht="16.5" customHeight="1">
      <c r="A11" s="116">
        <v>2</v>
      </c>
      <c r="B11" s="125" t="s">
        <v>39</v>
      </c>
      <c r="C11" s="122" t="s">
        <v>11</v>
      </c>
      <c r="D11" s="33" t="s">
        <v>12</v>
      </c>
      <c r="E11" s="34" t="s">
        <v>13</v>
      </c>
      <c r="F11" s="11">
        <v>56.423000000000002</v>
      </c>
      <c r="G11" s="12">
        <v>51778.46</v>
      </c>
      <c r="H11" s="13">
        <f>F11*G11</f>
        <v>2921496.0485800002</v>
      </c>
      <c r="K11" s="27"/>
    </row>
    <row r="12" spans="1:12" ht="16.5" customHeight="1">
      <c r="A12" s="116"/>
      <c r="B12" s="125"/>
      <c r="C12" s="122"/>
      <c r="D12" s="14" t="s">
        <v>14</v>
      </c>
      <c r="E12" s="15" t="s">
        <v>15</v>
      </c>
      <c r="F12" s="16">
        <v>7.0000000000000007E-2</v>
      </c>
      <c r="G12" s="17">
        <v>81.8</v>
      </c>
      <c r="H12" s="18">
        <f>F12*G12</f>
        <v>5.726</v>
      </c>
      <c r="K12" s="27"/>
    </row>
    <row r="13" spans="1:12" ht="21.75" customHeight="1">
      <c r="A13" s="116"/>
      <c r="B13" s="125"/>
      <c r="C13" s="122"/>
      <c r="D13" s="14" t="s">
        <v>16</v>
      </c>
      <c r="E13" s="15" t="s">
        <v>15</v>
      </c>
      <c r="F13" s="16">
        <f>3804.817+111.12</f>
        <v>3915.9369999999999</v>
      </c>
      <c r="G13" s="17">
        <v>81.8</v>
      </c>
      <c r="H13" s="18">
        <f>F13*G13</f>
        <v>320323.64659999998</v>
      </c>
    </row>
    <row r="14" spans="1:12" ht="21.75" customHeight="1">
      <c r="A14" s="116"/>
      <c r="B14" s="125"/>
      <c r="C14" s="122"/>
      <c r="D14" s="14" t="s">
        <v>17</v>
      </c>
      <c r="E14" s="15" t="s">
        <v>15</v>
      </c>
      <c r="F14" s="16">
        <f>1426.684+5.126+8.123+734.055</f>
        <v>2173.9879999999998</v>
      </c>
      <c r="G14" s="17">
        <v>81.8</v>
      </c>
      <c r="H14" s="18">
        <f>F14*G14</f>
        <v>177832.21839999998</v>
      </c>
    </row>
    <row r="15" spans="1:12">
      <c r="A15" s="116"/>
      <c r="B15" s="125"/>
      <c r="C15" s="122"/>
      <c r="D15" s="14" t="s">
        <v>18</v>
      </c>
      <c r="E15" s="15" t="s">
        <v>15</v>
      </c>
      <c r="F15" s="16">
        <v>923.90800000000002</v>
      </c>
      <c r="G15" s="17">
        <v>81.8</v>
      </c>
      <c r="H15" s="18">
        <f>F15*G15</f>
        <v>75575.674400000004</v>
      </c>
    </row>
    <row r="16" spans="1:12">
      <c r="A16" s="116"/>
      <c r="B16" s="125"/>
      <c r="C16" s="122"/>
      <c r="D16" s="35" t="s">
        <v>19</v>
      </c>
      <c r="E16" s="36"/>
      <c r="F16" s="24">
        <f>F11</f>
        <v>56.423000000000002</v>
      </c>
      <c r="G16" s="25"/>
      <c r="H16" s="26">
        <f>H11</f>
        <v>2921496.0485800002</v>
      </c>
    </row>
    <row r="17" spans="1:10" ht="16.5" thickBot="1">
      <c r="A17" s="116"/>
      <c r="B17" s="126"/>
      <c r="C17" s="123"/>
      <c r="D17" s="37" t="s">
        <v>20</v>
      </c>
      <c r="E17" s="38"/>
      <c r="F17" s="60">
        <f>F13+F14+F15+F12</f>
        <v>7013.9029999999993</v>
      </c>
      <c r="G17" s="61"/>
      <c r="H17" s="62">
        <f>H13+H14+H15+H12</f>
        <v>573737.26540000003</v>
      </c>
      <c r="J17" s="21"/>
    </row>
    <row r="18" spans="1:10">
      <c r="A18" s="115">
        <v>3</v>
      </c>
      <c r="B18" s="124" t="s">
        <v>40</v>
      </c>
      <c r="C18" s="121" t="s">
        <v>11</v>
      </c>
      <c r="D18" s="39" t="s">
        <v>12</v>
      </c>
      <c r="E18" s="40" t="s">
        <v>13</v>
      </c>
      <c r="F18" s="11">
        <v>56.423000000000002</v>
      </c>
      <c r="G18" s="12">
        <v>51778.46</v>
      </c>
      <c r="H18" s="13">
        <f>F18*G18</f>
        <v>2921496.0485800002</v>
      </c>
    </row>
    <row r="19" spans="1:10">
      <c r="A19" s="116"/>
      <c r="B19" s="125"/>
      <c r="C19" s="122"/>
      <c r="D19" s="14" t="s">
        <v>14</v>
      </c>
      <c r="E19" s="15" t="s">
        <v>15</v>
      </c>
      <c r="F19" s="16">
        <v>0.14099999999999999</v>
      </c>
      <c r="G19" s="17">
        <v>81.8</v>
      </c>
      <c r="H19" s="18">
        <f>F19*G19</f>
        <v>11.533799999999998</v>
      </c>
    </row>
    <row r="20" spans="1:10" ht="25.5">
      <c r="A20" s="116"/>
      <c r="B20" s="125"/>
      <c r="C20" s="122"/>
      <c r="D20" s="14" t="s">
        <v>16</v>
      </c>
      <c r="E20" s="15" t="s">
        <v>15</v>
      </c>
      <c r="F20" s="16">
        <f>4574.49+152.072</f>
        <v>4726.5619999999999</v>
      </c>
      <c r="G20" s="17">
        <v>81.8</v>
      </c>
      <c r="H20" s="18">
        <f>F20*G20</f>
        <v>386632.77159999998</v>
      </c>
      <c r="J20" s="27"/>
    </row>
    <row r="21" spans="1:10" ht="25.5">
      <c r="A21" s="116"/>
      <c r="B21" s="125"/>
      <c r="C21" s="122"/>
      <c r="D21" s="14" t="s">
        <v>17</v>
      </c>
      <c r="E21" s="15" t="s">
        <v>15</v>
      </c>
      <c r="F21" s="16">
        <f>2469.265+4.158+15.326+6.839</f>
        <v>2495.5879999999997</v>
      </c>
      <c r="G21" s="17">
        <v>81.8</v>
      </c>
      <c r="H21" s="18">
        <f>F21*G21</f>
        <v>204139.09839999996</v>
      </c>
    </row>
    <row r="22" spans="1:10">
      <c r="A22" s="116"/>
      <c r="B22" s="125"/>
      <c r="C22" s="122"/>
      <c r="D22" s="14" t="s">
        <v>18</v>
      </c>
      <c r="E22" s="15" t="s">
        <v>15</v>
      </c>
      <c r="F22" s="16">
        <v>1000.838</v>
      </c>
      <c r="G22" s="17">
        <v>81.8</v>
      </c>
      <c r="H22" s="18">
        <f>F22*G22</f>
        <v>81868.5484</v>
      </c>
      <c r="J22" s="27"/>
    </row>
    <row r="23" spans="1:10">
      <c r="A23" s="116"/>
      <c r="B23" s="125"/>
      <c r="C23" s="122"/>
      <c r="D23" s="35" t="s">
        <v>19</v>
      </c>
      <c r="E23" s="36"/>
      <c r="F23" s="24">
        <f>F18</f>
        <v>56.423000000000002</v>
      </c>
      <c r="G23" s="25"/>
      <c r="H23" s="26">
        <f>H18</f>
        <v>2921496.0485800002</v>
      </c>
    </row>
    <row r="24" spans="1:10" ht="16.5" thickBot="1">
      <c r="A24" s="117"/>
      <c r="B24" s="126"/>
      <c r="C24" s="123"/>
      <c r="D24" s="37" t="s">
        <v>20</v>
      </c>
      <c r="E24" s="38"/>
      <c r="F24" s="60">
        <f>F20+F21+F22+F19</f>
        <v>8223.128999999999</v>
      </c>
      <c r="G24" s="61"/>
      <c r="H24" s="62">
        <f>H20+H21+H22+H19</f>
        <v>672651.95219999983</v>
      </c>
      <c r="J24" s="21"/>
    </row>
    <row r="25" spans="1:10">
      <c r="A25" s="115">
        <v>4</v>
      </c>
      <c r="B25" s="124" t="s">
        <v>41</v>
      </c>
      <c r="C25" s="121" t="s">
        <v>11</v>
      </c>
      <c r="D25" s="39" t="s">
        <v>12</v>
      </c>
      <c r="E25" s="40" t="s">
        <v>13</v>
      </c>
      <c r="F25" s="11">
        <v>56.423000000000002</v>
      </c>
      <c r="G25" s="12">
        <v>51778.46</v>
      </c>
      <c r="H25" s="13">
        <f>F25*G25</f>
        <v>2921496.0485800002</v>
      </c>
    </row>
    <row r="26" spans="1:10">
      <c r="A26" s="116"/>
      <c r="B26" s="125"/>
      <c r="C26" s="122"/>
      <c r="D26" s="14" t="s">
        <v>14</v>
      </c>
      <c r="E26" s="15" t="s">
        <v>15</v>
      </c>
      <c r="F26" s="16">
        <v>4.9000000000000002E-2</v>
      </c>
      <c r="G26" s="17">
        <v>81.8</v>
      </c>
      <c r="H26" s="18">
        <f>F26*G26</f>
        <v>4.0082000000000004</v>
      </c>
    </row>
    <row r="27" spans="1:10" ht="23.25" customHeight="1">
      <c r="A27" s="116"/>
      <c r="B27" s="125"/>
      <c r="C27" s="122"/>
      <c r="D27" s="14" t="s">
        <v>16</v>
      </c>
      <c r="E27" s="15" t="s">
        <v>15</v>
      </c>
      <c r="F27" s="16">
        <f>3422.658+64.937</f>
        <v>3487.5949999999998</v>
      </c>
      <c r="G27" s="17">
        <v>81.8</v>
      </c>
      <c r="H27" s="18">
        <f>F27*G27</f>
        <v>285285.27099999995</v>
      </c>
    </row>
    <row r="28" spans="1:10" ht="25.5">
      <c r="A28" s="116"/>
      <c r="B28" s="125"/>
      <c r="C28" s="122"/>
      <c r="D28" s="14" t="s">
        <v>17</v>
      </c>
      <c r="E28" s="15" t="s">
        <v>15</v>
      </c>
      <c r="F28" s="16">
        <f>2030.588+3.904+5.038</f>
        <v>2039.53</v>
      </c>
      <c r="G28" s="17">
        <v>81.8</v>
      </c>
      <c r="H28" s="18">
        <f>F28*G28</f>
        <v>166833.554</v>
      </c>
    </row>
    <row r="29" spans="1:10">
      <c r="A29" s="116"/>
      <c r="B29" s="125"/>
      <c r="C29" s="122"/>
      <c r="D29" s="14" t="s">
        <v>18</v>
      </c>
      <c r="E29" s="15" t="s">
        <v>15</v>
      </c>
      <c r="F29" s="16">
        <v>961.08100000000002</v>
      </c>
      <c r="G29" s="17">
        <v>81.8</v>
      </c>
      <c r="H29" s="18">
        <f>F29*G29</f>
        <v>78616.425799999997</v>
      </c>
    </row>
    <row r="30" spans="1:10">
      <c r="A30" s="116"/>
      <c r="B30" s="125"/>
      <c r="C30" s="122"/>
      <c r="D30" s="35" t="s">
        <v>19</v>
      </c>
      <c r="E30" s="36"/>
      <c r="F30" s="24">
        <f>F25</f>
        <v>56.423000000000002</v>
      </c>
      <c r="G30" s="25"/>
      <c r="H30" s="26">
        <f>H25</f>
        <v>2921496.0485800002</v>
      </c>
    </row>
    <row r="31" spans="1:10" ht="16.5" thickBot="1">
      <c r="A31" s="117"/>
      <c r="B31" s="126"/>
      <c r="C31" s="123"/>
      <c r="D31" s="37" t="s">
        <v>20</v>
      </c>
      <c r="E31" s="38"/>
      <c r="F31" s="60">
        <f>F27+F28+F29+F26</f>
        <v>6488.2550000000001</v>
      </c>
      <c r="G31" s="61"/>
      <c r="H31" s="62">
        <f>H27+H28+H29+H26</f>
        <v>530739.25899999996</v>
      </c>
      <c r="J31" s="21"/>
    </row>
    <row r="32" spans="1:10" s="41" customFormat="1">
      <c r="A32" s="115">
        <v>5</v>
      </c>
      <c r="B32" s="124" t="s">
        <v>42</v>
      </c>
      <c r="C32" s="121" t="s">
        <v>11</v>
      </c>
      <c r="D32" s="39" t="s">
        <v>12</v>
      </c>
      <c r="E32" s="40" t="s">
        <v>13</v>
      </c>
      <c r="F32" s="11">
        <v>56.423000000000002</v>
      </c>
      <c r="G32" s="12">
        <v>51778.46</v>
      </c>
      <c r="H32" s="13">
        <f>F32*G32</f>
        <v>2921496.0485800002</v>
      </c>
    </row>
    <row r="33" spans="1:10" s="41" customFormat="1">
      <c r="A33" s="116"/>
      <c r="B33" s="125"/>
      <c r="C33" s="122"/>
      <c r="D33" s="14" t="s">
        <v>14</v>
      </c>
      <c r="E33" s="15" t="s">
        <v>15</v>
      </c>
      <c r="F33" s="16">
        <v>8.3000000000000004E-2</v>
      </c>
      <c r="G33" s="17">
        <v>81.8</v>
      </c>
      <c r="H33" s="18">
        <f>F33*G33</f>
        <v>6.7894000000000005</v>
      </c>
    </row>
    <row r="34" spans="1:10" s="41" customFormat="1" ht="25.5">
      <c r="A34" s="116"/>
      <c r="B34" s="125"/>
      <c r="C34" s="122"/>
      <c r="D34" s="14" t="s">
        <v>16</v>
      </c>
      <c r="E34" s="15" t="s">
        <v>15</v>
      </c>
      <c r="F34" s="16">
        <f>3233.82+106.592</f>
        <v>3340.4120000000003</v>
      </c>
      <c r="G34" s="17">
        <v>81.8</v>
      </c>
      <c r="H34" s="18">
        <f>F34*G34</f>
        <v>273245.70160000003</v>
      </c>
    </row>
    <row r="35" spans="1:10" s="41" customFormat="1" ht="25.5">
      <c r="A35" s="116"/>
      <c r="B35" s="125"/>
      <c r="C35" s="122"/>
      <c r="D35" s="14" t="s">
        <v>17</v>
      </c>
      <c r="E35" s="15" t="s">
        <v>15</v>
      </c>
      <c r="F35" s="16">
        <f>1979.127+4.324+19.59+7.736</f>
        <v>2010.777</v>
      </c>
      <c r="G35" s="17">
        <v>81.8</v>
      </c>
      <c r="H35" s="18">
        <f>F35*G35</f>
        <v>164481.55859999999</v>
      </c>
    </row>
    <row r="36" spans="1:10" s="41" customFormat="1" ht="19.5" customHeight="1">
      <c r="A36" s="116"/>
      <c r="B36" s="125"/>
      <c r="C36" s="122"/>
      <c r="D36" s="14" t="s">
        <v>18</v>
      </c>
      <c r="E36" s="15" t="s">
        <v>15</v>
      </c>
      <c r="F36" s="16">
        <v>948.45100000000002</v>
      </c>
      <c r="G36" s="17">
        <v>81.8</v>
      </c>
      <c r="H36" s="18">
        <f>F36*G36</f>
        <v>77583.291800000006</v>
      </c>
    </row>
    <row r="37" spans="1:10" s="41" customFormat="1">
      <c r="A37" s="116"/>
      <c r="B37" s="125"/>
      <c r="C37" s="122"/>
      <c r="D37" s="35" t="s">
        <v>19</v>
      </c>
      <c r="E37" s="36"/>
      <c r="F37" s="24">
        <f>F32</f>
        <v>56.423000000000002</v>
      </c>
      <c r="G37" s="25"/>
      <c r="H37" s="26">
        <f>H32</f>
        <v>2921496.0485800002</v>
      </c>
    </row>
    <row r="38" spans="1:10" s="41" customFormat="1" ht="16.5" thickBot="1">
      <c r="A38" s="117"/>
      <c r="B38" s="126"/>
      <c r="C38" s="123"/>
      <c r="D38" s="37" t="s">
        <v>20</v>
      </c>
      <c r="E38" s="38"/>
      <c r="F38" s="60">
        <f>F34+F35+F36+F33</f>
        <v>6299.723</v>
      </c>
      <c r="G38" s="61"/>
      <c r="H38" s="62">
        <f>H34+H35+H36+H33</f>
        <v>515317.34140000003</v>
      </c>
      <c r="J38" s="21"/>
    </row>
    <row r="39" spans="1:10" s="41" customFormat="1">
      <c r="A39" s="115">
        <v>6</v>
      </c>
      <c r="B39" s="118" t="s">
        <v>25</v>
      </c>
      <c r="C39" s="121" t="s">
        <v>11</v>
      </c>
      <c r="D39" s="39" t="s">
        <v>12</v>
      </c>
      <c r="E39" s="40" t="s">
        <v>13</v>
      </c>
      <c r="F39" s="11">
        <v>56.423000000000002</v>
      </c>
      <c r="G39" s="12">
        <v>51778.46</v>
      </c>
      <c r="H39" s="13">
        <f>F39*G39</f>
        <v>2921496.0485800002</v>
      </c>
    </row>
    <row r="40" spans="1:10" s="41" customFormat="1">
      <c r="A40" s="116"/>
      <c r="B40" s="119"/>
      <c r="C40" s="122"/>
      <c r="D40" s="14" t="s">
        <v>14</v>
      </c>
      <c r="E40" s="15" t="s">
        <v>15</v>
      </c>
      <c r="F40" s="16">
        <v>45.746000000000002</v>
      </c>
      <c r="G40" s="17">
        <v>81.8</v>
      </c>
      <c r="H40" s="18">
        <f>F40*G40</f>
        <v>3742.0228000000002</v>
      </c>
    </row>
    <row r="41" spans="1:10" s="41" customFormat="1" ht="25.5">
      <c r="A41" s="116"/>
      <c r="B41" s="119"/>
      <c r="C41" s="122"/>
      <c r="D41" s="14" t="s">
        <v>16</v>
      </c>
      <c r="E41" s="15" t="s">
        <v>15</v>
      </c>
      <c r="F41" s="16">
        <f>3305.159+74.714</f>
        <v>3379.873</v>
      </c>
      <c r="G41" s="17">
        <v>81.8</v>
      </c>
      <c r="H41" s="18">
        <f>F41*G41</f>
        <v>276473.61139999999</v>
      </c>
    </row>
    <row r="42" spans="1:10" s="41" customFormat="1" ht="25.5">
      <c r="A42" s="116"/>
      <c r="B42" s="119"/>
      <c r="C42" s="122"/>
      <c r="D42" s="14" t="s">
        <v>17</v>
      </c>
      <c r="E42" s="15" t="s">
        <v>15</v>
      </c>
      <c r="F42" s="16">
        <f>2441.14+3.798+19.971+57.045</f>
        <v>2521.9539999999997</v>
      </c>
      <c r="G42" s="17">
        <v>81.8</v>
      </c>
      <c r="H42" s="18">
        <f>F42*G42</f>
        <v>206295.83719999998</v>
      </c>
    </row>
    <row r="43" spans="1:10" s="41" customFormat="1">
      <c r="A43" s="116"/>
      <c r="B43" s="119"/>
      <c r="C43" s="122"/>
      <c r="D43" s="14" t="s">
        <v>18</v>
      </c>
      <c r="E43" s="15" t="s">
        <v>15</v>
      </c>
      <c r="F43" s="16">
        <v>1112.4079999999999</v>
      </c>
      <c r="G43" s="17">
        <v>81.8</v>
      </c>
      <c r="H43" s="18">
        <f>F43*G43</f>
        <v>90994.974399999992</v>
      </c>
    </row>
    <row r="44" spans="1:10" s="41" customFormat="1">
      <c r="A44" s="116"/>
      <c r="B44" s="119"/>
      <c r="C44" s="122"/>
      <c r="D44" s="35" t="s">
        <v>19</v>
      </c>
      <c r="E44" s="36"/>
      <c r="F44" s="24">
        <f>F39</f>
        <v>56.423000000000002</v>
      </c>
      <c r="G44" s="25"/>
      <c r="H44" s="26">
        <f>H39</f>
        <v>2921496.0485800002</v>
      </c>
    </row>
    <row r="45" spans="1:10" s="41" customFormat="1" ht="16.5" thickBot="1">
      <c r="A45" s="117"/>
      <c r="B45" s="120"/>
      <c r="C45" s="123"/>
      <c r="D45" s="37" t="s">
        <v>20</v>
      </c>
      <c r="E45" s="38"/>
      <c r="F45" s="60">
        <f>F41+F42+F43+F40</f>
        <v>7059.9809999999989</v>
      </c>
      <c r="G45" s="61"/>
      <c r="H45" s="62">
        <f>H41+H42+H43+H40</f>
        <v>577506.44579999999</v>
      </c>
      <c r="J45" s="21"/>
    </row>
    <row r="46" spans="1:10" s="41" customFormat="1">
      <c r="A46" s="115">
        <v>7</v>
      </c>
      <c r="B46" s="118" t="s">
        <v>26</v>
      </c>
      <c r="C46" s="121" t="s">
        <v>11</v>
      </c>
      <c r="D46" s="39" t="s">
        <v>12</v>
      </c>
      <c r="E46" s="40" t="s">
        <v>13</v>
      </c>
      <c r="F46" s="11">
        <v>56.423000000000002</v>
      </c>
      <c r="G46" s="12">
        <v>51778.46</v>
      </c>
      <c r="H46" s="13">
        <f>F46*G46</f>
        <v>2921496.0485800002</v>
      </c>
    </row>
    <row r="47" spans="1:10" s="41" customFormat="1">
      <c r="A47" s="116"/>
      <c r="B47" s="119"/>
      <c r="C47" s="122"/>
      <c r="D47" s="14" t="s">
        <v>14</v>
      </c>
      <c r="E47" s="15" t="s">
        <v>15</v>
      </c>
      <c r="F47" s="16">
        <v>24.335999999999999</v>
      </c>
      <c r="G47" s="17">
        <v>81.8</v>
      </c>
      <c r="H47" s="18">
        <f>F47*G47</f>
        <v>1990.6847999999998</v>
      </c>
    </row>
    <row r="48" spans="1:10" s="41" customFormat="1" ht="25.5">
      <c r="A48" s="116"/>
      <c r="B48" s="119"/>
      <c r="C48" s="122"/>
      <c r="D48" s="14" t="s">
        <v>16</v>
      </c>
      <c r="E48" s="15" t="s">
        <v>15</v>
      </c>
      <c r="F48" s="17">
        <f>3856.577+206.88</f>
        <v>4063.4570000000003</v>
      </c>
      <c r="G48" s="17">
        <v>81.8</v>
      </c>
      <c r="H48" s="18">
        <f>F48*G48</f>
        <v>332390.78260000004</v>
      </c>
    </row>
    <row r="49" spans="1:10" s="41" customFormat="1" ht="25.5">
      <c r="A49" s="116"/>
      <c r="B49" s="119"/>
      <c r="C49" s="122"/>
      <c r="D49" s="14" t="s">
        <v>17</v>
      </c>
      <c r="E49" s="15" t="s">
        <v>15</v>
      </c>
      <c r="F49" s="16">
        <f>2758.697+5.791+31.949+60.591</f>
        <v>2857.0280000000002</v>
      </c>
      <c r="G49" s="17">
        <v>81.8</v>
      </c>
      <c r="H49" s="18">
        <f>F49*G49</f>
        <v>233704.8904</v>
      </c>
    </row>
    <row r="50" spans="1:10" s="41" customFormat="1">
      <c r="A50" s="116"/>
      <c r="B50" s="119"/>
      <c r="C50" s="122"/>
      <c r="D50" s="14" t="s">
        <v>18</v>
      </c>
      <c r="E50" s="15" t="s">
        <v>15</v>
      </c>
      <c r="F50" s="16">
        <v>1152.3240000000001</v>
      </c>
      <c r="G50" s="17">
        <v>81.8</v>
      </c>
      <c r="H50" s="18">
        <f>F50*G50</f>
        <v>94260.103199999998</v>
      </c>
    </row>
    <row r="51" spans="1:10" s="41" customFormat="1">
      <c r="A51" s="116"/>
      <c r="B51" s="119"/>
      <c r="C51" s="122"/>
      <c r="D51" s="35" t="s">
        <v>19</v>
      </c>
      <c r="E51" s="36"/>
      <c r="F51" s="24">
        <f>F46</f>
        <v>56.423000000000002</v>
      </c>
      <c r="G51" s="25"/>
      <c r="H51" s="26">
        <f>H46</f>
        <v>2921496.0485800002</v>
      </c>
    </row>
    <row r="52" spans="1:10" s="41" customFormat="1" ht="16.5" thickBot="1">
      <c r="A52" s="117"/>
      <c r="B52" s="120"/>
      <c r="C52" s="123"/>
      <c r="D52" s="37" t="s">
        <v>20</v>
      </c>
      <c r="E52" s="38"/>
      <c r="F52" s="60">
        <f>F48+F49+F50+F47</f>
        <v>8097.1450000000013</v>
      </c>
      <c r="G52" s="61"/>
      <c r="H52" s="62">
        <f>H48+H49+H50+H47</f>
        <v>662346.46100000013</v>
      </c>
      <c r="J52" s="21"/>
    </row>
    <row r="53" spans="1:10" s="41" customFormat="1">
      <c r="A53" s="115">
        <v>8</v>
      </c>
      <c r="B53" s="118" t="s">
        <v>27</v>
      </c>
      <c r="C53" s="121" t="s">
        <v>11</v>
      </c>
      <c r="D53" s="39" t="s">
        <v>12</v>
      </c>
      <c r="E53" s="40" t="s">
        <v>13</v>
      </c>
      <c r="F53" s="11">
        <v>56.423000000000002</v>
      </c>
      <c r="G53" s="12">
        <v>51778.46</v>
      </c>
      <c r="H53" s="13">
        <f>F53*G53</f>
        <v>2921496.0485800002</v>
      </c>
    </row>
    <row r="54" spans="1:10" s="41" customFormat="1">
      <c r="A54" s="116"/>
      <c r="B54" s="119"/>
      <c r="C54" s="122"/>
      <c r="D54" s="14" t="s">
        <v>14</v>
      </c>
      <c r="E54" s="15" t="s">
        <v>15</v>
      </c>
      <c r="F54" s="16">
        <v>28.577999999999999</v>
      </c>
      <c r="G54" s="17">
        <v>81.8</v>
      </c>
      <c r="H54" s="18">
        <f>F54*G54</f>
        <v>2337.6803999999997</v>
      </c>
    </row>
    <row r="55" spans="1:10" s="41" customFormat="1" ht="25.5">
      <c r="A55" s="116"/>
      <c r="B55" s="119"/>
      <c r="C55" s="122"/>
      <c r="D55" s="14" t="s">
        <v>16</v>
      </c>
      <c r="E55" s="15" t="s">
        <v>15</v>
      </c>
      <c r="F55" s="16">
        <f>4251.586+224.486</f>
        <v>4476.0720000000001</v>
      </c>
      <c r="G55" s="17">
        <v>81.8</v>
      </c>
      <c r="H55" s="18">
        <f>F55*G55</f>
        <v>366142.68959999998</v>
      </c>
    </row>
    <row r="56" spans="1:10" s="41" customFormat="1" ht="25.5">
      <c r="A56" s="116"/>
      <c r="B56" s="119"/>
      <c r="C56" s="122"/>
      <c r="D56" s="14" t="s">
        <v>17</v>
      </c>
      <c r="E56" s="15" t="s">
        <v>15</v>
      </c>
      <c r="F56" s="16">
        <f>3240.129+4.107+22.569+44.807</f>
        <v>3311.6119999999996</v>
      </c>
      <c r="G56" s="17">
        <v>81.8</v>
      </c>
      <c r="H56" s="18">
        <f>F56*G56</f>
        <v>270889.86159999995</v>
      </c>
    </row>
    <row r="57" spans="1:10" s="41" customFormat="1">
      <c r="A57" s="116"/>
      <c r="B57" s="119"/>
      <c r="C57" s="122"/>
      <c r="D57" s="14" t="s">
        <v>18</v>
      </c>
      <c r="E57" s="15" t="s">
        <v>15</v>
      </c>
      <c r="F57" s="16">
        <v>1558.7809999999999</v>
      </c>
      <c r="G57" s="17">
        <v>81.8</v>
      </c>
      <c r="H57" s="18">
        <f>F57*G57</f>
        <v>127508.2858</v>
      </c>
    </row>
    <row r="58" spans="1:10" s="41" customFormat="1">
      <c r="A58" s="116"/>
      <c r="B58" s="119"/>
      <c r="C58" s="122"/>
      <c r="D58" s="35" t="s">
        <v>19</v>
      </c>
      <c r="E58" s="36"/>
      <c r="F58" s="25">
        <f>F53</f>
        <v>56.423000000000002</v>
      </c>
      <c r="G58" s="25"/>
      <c r="H58" s="26">
        <f>H53</f>
        <v>2921496.0485800002</v>
      </c>
    </row>
    <row r="59" spans="1:10" s="41" customFormat="1" ht="16.5" thickBot="1">
      <c r="A59" s="117"/>
      <c r="B59" s="120"/>
      <c r="C59" s="123"/>
      <c r="D59" s="37" t="s">
        <v>20</v>
      </c>
      <c r="E59" s="38"/>
      <c r="F59" s="60">
        <f>F55+F56+F57+F54</f>
        <v>9375.0429999999997</v>
      </c>
      <c r="G59" s="61"/>
      <c r="H59" s="62">
        <f>H55+H56+H57+H54</f>
        <v>766878.51739999978</v>
      </c>
    </row>
    <row r="60" spans="1:10" s="41" customFormat="1" ht="16.5" customHeight="1">
      <c r="A60" s="115">
        <v>9</v>
      </c>
      <c r="B60" s="118" t="s">
        <v>28</v>
      </c>
      <c r="C60" s="121" t="s">
        <v>11</v>
      </c>
      <c r="D60" s="39" t="s">
        <v>12</v>
      </c>
      <c r="E60" s="40" t="s">
        <v>13</v>
      </c>
      <c r="F60" s="11">
        <v>56.423000000000002</v>
      </c>
      <c r="G60" s="12">
        <v>51778.46</v>
      </c>
      <c r="H60" s="13">
        <f>F60*G60</f>
        <v>2921496.0485800002</v>
      </c>
    </row>
    <row r="61" spans="1:10" s="41" customFormat="1" ht="16.5" customHeight="1">
      <c r="A61" s="116"/>
      <c r="B61" s="119"/>
      <c r="C61" s="122"/>
      <c r="D61" s="14" t="s">
        <v>14</v>
      </c>
      <c r="E61" s="15" t="s">
        <v>15</v>
      </c>
      <c r="F61" s="16">
        <v>0.17100000000000001</v>
      </c>
      <c r="G61" s="17">
        <v>81.8</v>
      </c>
      <c r="H61" s="18">
        <f>F61*G61</f>
        <v>13.9878</v>
      </c>
    </row>
    <row r="62" spans="1:10" s="41" customFormat="1" ht="25.5">
      <c r="A62" s="116"/>
      <c r="B62" s="119"/>
      <c r="C62" s="122"/>
      <c r="D62" s="14" t="s">
        <v>16</v>
      </c>
      <c r="E62" s="15" t="s">
        <v>15</v>
      </c>
      <c r="F62" s="16">
        <f>3150.384+38.255</f>
        <v>3188.6390000000001</v>
      </c>
      <c r="G62" s="17">
        <v>81.8</v>
      </c>
      <c r="H62" s="18">
        <f>F62*G62</f>
        <v>260830.67019999999</v>
      </c>
    </row>
    <row r="63" spans="1:10" s="41" customFormat="1" ht="25.5">
      <c r="A63" s="116"/>
      <c r="B63" s="119"/>
      <c r="C63" s="122"/>
      <c r="D63" s="14" t="s">
        <v>17</v>
      </c>
      <c r="E63" s="15" t="s">
        <v>15</v>
      </c>
      <c r="F63" s="16">
        <f>2414.604+3.615+10.95</f>
        <v>2429.1689999999994</v>
      </c>
      <c r="G63" s="17">
        <v>81.8</v>
      </c>
      <c r="H63" s="18">
        <f>F63*G63</f>
        <v>198706.02419999996</v>
      </c>
    </row>
    <row r="64" spans="1:10" s="41" customFormat="1">
      <c r="A64" s="116"/>
      <c r="B64" s="119"/>
      <c r="C64" s="122"/>
      <c r="D64" s="14" t="s">
        <v>18</v>
      </c>
      <c r="E64" s="15" t="s">
        <v>15</v>
      </c>
      <c r="F64" s="16">
        <v>1101.183</v>
      </c>
      <c r="G64" s="17">
        <v>81.8</v>
      </c>
      <c r="H64" s="18">
        <f>F64*G64</f>
        <v>90076.76939999999</v>
      </c>
    </row>
    <row r="65" spans="1:8" s="41" customFormat="1">
      <c r="A65" s="116"/>
      <c r="B65" s="119"/>
      <c r="C65" s="122"/>
      <c r="D65" s="35" t="s">
        <v>19</v>
      </c>
      <c r="E65" s="36"/>
      <c r="F65" s="25">
        <f>F60</f>
        <v>56.423000000000002</v>
      </c>
      <c r="G65" s="25"/>
      <c r="H65" s="26">
        <f>H60</f>
        <v>2921496.0485800002</v>
      </c>
    </row>
    <row r="66" spans="1:8" s="41" customFormat="1" ht="16.5" thickBot="1">
      <c r="A66" s="117"/>
      <c r="B66" s="120"/>
      <c r="C66" s="123"/>
      <c r="D66" s="37" t="s">
        <v>20</v>
      </c>
      <c r="E66" s="38"/>
      <c r="F66" s="60">
        <f>F62+F63+F64+F61</f>
        <v>6719.1619999999994</v>
      </c>
      <c r="G66" s="61"/>
      <c r="H66" s="62">
        <f>H62+H63+H64+H61</f>
        <v>549627.45159999991</v>
      </c>
    </row>
    <row r="67" spans="1:8" s="41" customFormat="1" ht="16.5" customHeight="1">
      <c r="A67" s="115">
        <v>10</v>
      </c>
      <c r="B67" s="118" t="s">
        <v>29</v>
      </c>
      <c r="C67" s="121" t="s">
        <v>11</v>
      </c>
      <c r="D67" s="39" t="s">
        <v>12</v>
      </c>
      <c r="E67" s="40" t="s">
        <v>13</v>
      </c>
      <c r="F67" s="11">
        <v>56.423000000000002</v>
      </c>
      <c r="G67" s="12">
        <v>51778.46</v>
      </c>
      <c r="H67" s="13">
        <f>F67*G67</f>
        <v>2921496.0485800002</v>
      </c>
    </row>
    <row r="68" spans="1:8" s="41" customFormat="1" ht="16.5" customHeight="1">
      <c r="A68" s="116"/>
      <c r="B68" s="119"/>
      <c r="C68" s="122"/>
      <c r="D68" s="14" t="s">
        <v>14</v>
      </c>
      <c r="E68" s="15" t="s">
        <v>15</v>
      </c>
      <c r="F68" s="16">
        <v>1.3819999999999999</v>
      </c>
      <c r="G68" s="17">
        <v>81.8</v>
      </c>
      <c r="H68" s="18">
        <f>F68*G68</f>
        <v>113.04759999999999</v>
      </c>
    </row>
    <row r="69" spans="1:8" s="41" customFormat="1" ht="25.5">
      <c r="A69" s="116"/>
      <c r="B69" s="119"/>
      <c r="C69" s="122"/>
      <c r="D69" s="14" t="s">
        <v>16</v>
      </c>
      <c r="E69" s="15" t="s">
        <v>15</v>
      </c>
      <c r="F69" s="16">
        <f>3481.947+52.304</f>
        <v>3534.2510000000002</v>
      </c>
      <c r="G69" s="17">
        <v>81.8</v>
      </c>
      <c r="H69" s="18">
        <f>F69*G69</f>
        <v>289101.73180000001</v>
      </c>
    </row>
    <row r="70" spans="1:8" s="41" customFormat="1" ht="25.5">
      <c r="A70" s="116"/>
      <c r="B70" s="119"/>
      <c r="C70" s="122"/>
      <c r="D70" s="14" t="s">
        <v>17</v>
      </c>
      <c r="E70" s="15" t="s">
        <v>15</v>
      </c>
      <c r="F70" s="16">
        <f>2235.255+3.471+5.664</f>
        <v>2244.3900000000003</v>
      </c>
      <c r="G70" s="17">
        <v>81.8</v>
      </c>
      <c r="H70" s="18">
        <f>F70*G70</f>
        <v>183591.10200000001</v>
      </c>
    </row>
    <row r="71" spans="1:8" s="41" customFormat="1">
      <c r="A71" s="116"/>
      <c r="B71" s="119"/>
      <c r="C71" s="122"/>
      <c r="D71" s="14" t="s">
        <v>18</v>
      </c>
      <c r="E71" s="15" t="s">
        <v>15</v>
      </c>
      <c r="F71" s="16">
        <v>1052.6099999999999</v>
      </c>
      <c r="G71" s="17">
        <v>81.8</v>
      </c>
      <c r="H71" s="18">
        <f>F71*G71</f>
        <v>86103.497999999992</v>
      </c>
    </row>
    <row r="72" spans="1:8" s="41" customFormat="1">
      <c r="A72" s="116"/>
      <c r="B72" s="119"/>
      <c r="C72" s="122"/>
      <c r="D72" s="35" t="s">
        <v>19</v>
      </c>
      <c r="E72" s="36"/>
      <c r="F72" s="25">
        <f>F67</f>
        <v>56.423000000000002</v>
      </c>
      <c r="G72" s="25"/>
      <c r="H72" s="26">
        <f>H67</f>
        <v>2921496.0485800002</v>
      </c>
    </row>
    <row r="73" spans="1:8" s="41" customFormat="1" ht="16.5" thickBot="1">
      <c r="A73" s="117"/>
      <c r="B73" s="120"/>
      <c r="C73" s="123"/>
      <c r="D73" s="37" t="s">
        <v>20</v>
      </c>
      <c r="E73" s="38"/>
      <c r="F73" s="60">
        <f>F69+F70+F71+F68</f>
        <v>6832.6329999999998</v>
      </c>
      <c r="G73" s="61"/>
      <c r="H73" s="62">
        <f>H69+H70+H71+H68</f>
        <v>558909.37940000009</v>
      </c>
    </row>
    <row r="74" spans="1:8" s="43" customFormat="1" ht="16.5" customHeight="1">
      <c r="A74" s="115">
        <v>11</v>
      </c>
      <c r="B74" s="118" t="s">
        <v>30</v>
      </c>
      <c r="C74" s="121" t="s">
        <v>11</v>
      </c>
      <c r="D74" s="39" t="s">
        <v>12</v>
      </c>
      <c r="E74" s="40" t="s">
        <v>13</v>
      </c>
      <c r="F74" s="11">
        <v>56.423000000000002</v>
      </c>
      <c r="G74" s="12">
        <v>51778.46</v>
      </c>
      <c r="H74" s="13">
        <f>F74*G74</f>
        <v>2921496.0485800002</v>
      </c>
    </row>
    <row r="75" spans="1:8" s="43" customFormat="1" ht="16.5" customHeight="1">
      <c r="A75" s="116"/>
      <c r="B75" s="119"/>
      <c r="C75" s="122"/>
      <c r="D75" s="14" t="s">
        <v>14</v>
      </c>
      <c r="E75" s="15" t="s">
        <v>15</v>
      </c>
      <c r="F75" s="16">
        <v>1.7689999999999999</v>
      </c>
      <c r="G75" s="17">
        <v>81.8</v>
      </c>
      <c r="H75" s="18">
        <f>F75*G75</f>
        <v>144.70419999999999</v>
      </c>
    </row>
    <row r="76" spans="1:8" s="43" customFormat="1" ht="25.5">
      <c r="A76" s="116"/>
      <c r="B76" s="119"/>
      <c r="C76" s="122"/>
      <c r="D76" s="14" t="s">
        <v>16</v>
      </c>
      <c r="E76" s="15" t="s">
        <v>15</v>
      </c>
      <c r="F76" s="16">
        <f>4086.79+60.448</f>
        <v>4147.2380000000003</v>
      </c>
      <c r="G76" s="17">
        <v>81.8</v>
      </c>
      <c r="H76" s="18">
        <f>F76*G76</f>
        <v>339244.06839999999</v>
      </c>
    </row>
    <row r="77" spans="1:8" s="43" customFormat="1" ht="25.5">
      <c r="A77" s="116"/>
      <c r="B77" s="119"/>
      <c r="C77" s="122"/>
      <c r="D77" s="14" t="s">
        <v>17</v>
      </c>
      <c r="E77" s="15" t="s">
        <v>15</v>
      </c>
      <c r="F77" s="16">
        <f>2324.981+3.329+0.001+6.684</f>
        <v>2334.9950000000008</v>
      </c>
      <c r="G77" s="17">
        <v>81.8</v>
      </c>
      <c r="H77" s="18">
        <f>F77*G77</f>
        <v>191002.59100000007</v>
      </c>
    </row>
    <row r="78" spans="1:8" s="43" customFormat="1">
      <c r="A78" s="116"/>
      <c r="B78" s="119"/>
      <c r="C78" s="122"/>
      <c r="D78" s="14" t="s">
        <v>18</v>
      </c>
      <c r="E78" s="15" t="s">
        <v>15</v>
      </c>
      <c r="F78" s="16">
        <v>1058.982</v>
      </c>
      <c r="G78" s="17">
        <v>81.8</v>
      </c>
      <c r="H78" s="18">
        <f>F78*G78</f>
        <v>86624.727599999998</v>
      </c>
    </row>
    <row r="79" spans="1:8" s="43" customFormat="1">
      <c r="A79" s="116"/>
      <c r="B79" s="119"/>
      <c r="C79" s="122"/>
      <c r="D79" s="35" t="s">
        <v>19</v>
      </c>
      <c r="E79" s="36"/>
      <c r="F79" s="25">
        <f>F74</f>
        <v>56.423000000000002</v>
      </c>
      <c r="G79" s="25"/>
      <c r="H79" s="26">
        <f>H74</f>
        <v>2921496.0485800002</v>
      </c>
    </row>
    <row r="80" spans="1:8" s="43" customFormat="1" ht="16.5" thickBot="1">
      <c r="A80" s="117"/>
      <c r="B80" s="120"/>
      <c r="C80" s="123"/>
      <c r="D80" s="37" t="s">
        <v>20</v>
      </c>
      <c r="E80" s="38"/>
      <c r="F80" s="60">
        <f>F76+F77+F78+F75</f>
        <v>7542.9840000000013</v>
      </c>
      <c r="G80" s="61"/>
      <c r="H80" s="62">
        <f>H76+H77+H78+H75</f>
        <v>617016.09120000002</v>
      </c>
    </row>
    <row r="81" spans="1:16" s="41" customFormat="1" ht="16.5" customHeight="1">
      <c r="A81" s="115">
        <v>12</v>
      </c>
      <c r="B81" s="118" t="s">
        <v>31</v>
      </c>
      <c r="C81" s="121" t="s">
        <v>11</v>
      </c>
      <c r="D81" s="39" t="s">
        <v>12</v>
      </c>
      <c r="E81" s="40" t="s">
        <v>13</v>
      </c>
      <c r="F81" s="11">
        <v>56.423000000000002</v>
      </c>
      <c r="G81" s="12">
        <v>51778.46</v>
      </c>
      <c r="H81" s="13">
        <f>F81*G81</f>
        <v>2921496.0485800002</v>
      </c>
    </row>
    <row r="82" spans="1:16" s="41" customFormat="1" ht="16.5" customHeight="1">
      <c r="A82" s="116"/>
      <c r="B82" s="119"/>
      <c r="C82" s="122"/>
      <c r="D82" s="14" t="s">
        <v>14</v>
      </c>
      <c r="E82" s="15" t="s">
        <v>15</v>
      </c>
      <c r="F82" s="16">
        <v>98.203000000000003</v>
      </c>
      <c r="G82" s="17">
        <v>81.8</v>
      </c>
      <c r="H82" s="18">
        <f>F82*G82</f>
        <v>8033.0054</v>
      </c>
    </row>
    <row r="83" spans="1:16" s="41" customFormat="1" ht="25.5">
      <c r="A83" s="116"/>
      <c r="B83" s="119"/>
      <c r="C83" s="122"/>
      <c r="D83" s="14" t="s">
        <v>16</v>
      </c>
      <c r="E83" s="15" t="s">
        <v>15</v>
      </c>
      <c r="F83" s="16">
        <f>4824.136+214.138</f>
        <v>5038.2740000000003</v>
      </c>
      <c r="G83" s="17">
        <v>81.8</v>
      </c>
      <c r="H83" s="18">
        <f>F83*G83</f>
        <v>412130.81320000003</v>
      </c>
    </row>
    <row r="84" spans="1:16" s="41" customFormat="1" ht="25.5">
      <c r="A84" s="116"/>
      <c r="B84" s="119"/>
      <c r="C84" s="122"/>
      <c r="D84" s="14" t="s">
        <v>17</v>
      </c>
      <c r="E84" s="15" t="s">
        <v>15</v>
      </c>
      <c r="F84" s="16">
        <f>2565.243+3.435+28.794+7.31</f>
        <v>2604.7819999999997</v>
      </c>
      <c r="G84" s="17">
        <v>81.8</v>
      </c>
      <c r="H84" s="18">
        <f>F84*G84</f>
        <v>213071.16759999996</v>
      </c>
    </row>
    <row r="85" spans="1:16" s="41" customFormat="1">
      <c r="A85" s="116"/>
      <c r="B85" s="119"/>
      <c r="C85" s="122"/>
      <c r="D85" s="14" t="s">
        <v>18</v>
      </c>
      <c r="E85" s="15" t="s">
        <v>15</v>
      </c>
      <c r="F85" s="16">
        <v>866.72400000000005</v>
      </c>
      <c r="G85" s="17">
        <v>81.8</v>
      </c>
      <c r="H85" s="18">
        <f>F85*G85</f>
        <v>70898.023199999996</v>
      </c>
    </row>
    <row r="86" spans="1:16" s="41" customFormat="1">
      <c r="A86" s="116"/>
      <c r="B86" s="119"/>
      <c r="C86" s="122"/>
      <c r="D86" s="35" t="s">
        <v>19</v>
      </c>
      <c r="E86" s="36"/>
      <c r="F86" s="25">
        <f>F81</f>
        <v>56.423000000000002</v>
      </c>
      <c r="G86" s="25"/>
      <c r="H86" s="26">
        <f>H81</f>
        <v>2921496.0485800002</v>
      </c>
    </row>
    <row r="87" spans="1:16" s="41" customFormat="1" ht="16.5" thickBot="1">
      <c r="A87" s="117"/>
      <c r="B87" s="120"/>
      <c r="C87" s="123"/>
      <c r="D87" s="37" t="s">
        <v>20</v>
      </c>
      <c r="E87" s="38"/>
      <c r="F87" s="60">
        <f>F83+F84+F85+F82</f>
        <v>8607.9830000000002</v>
      </c>
      <c r="G87" s="61"/>
      <c r="H87" s="62">
        <f>H83+H84+H85+H82</f>
        <v>704133.00939999998</v>
      </c>
    </row>
    <row r="88" spans="1:16">
      <c r="A88" s="115">
        <v>13</v>
      </c>
      <c r="B88" s="118">
        <v>2022</v>
      </c>
      <c r="C88" s="121" t="s">
        <v>11</v>
      </c>
      <c r="D88" s="39" t="s">
        <v>12</v>
      </c>
      <c r="E88" s="40" t="s">
        <v>13</v>
      </c>
      <c r="F88" s="11">
        <v>56.423000000000002</v>
      </c>
      <c r="G88" s="12">
        <v>51778.46</v>
      </c>
      <c r="H88" s="44">
        <f>F88*G88*12</f>
        <v>35057952.582960002</v>
      </c>
      <c r="I88" s="45"/>
      <c r="J88" s="46"/>
    </row>
    <row r="89" spans="1:16">
      <c r="A89" s="116"/>
      <c r="B89" s="119"/>
      <c r="C89" s="122"/>
      <c r="D89" s="14" t="s">
        <v>14</v>
      </c>
      <c r="E89" s="15" t="s">
        <v>15</v>
      </c>
      <c r="F89" s="47">
        <f>F5+F12+F19+F26+F33+F40+F47+F54+F61+F68+F75+F82</f>
        <v>200.53800000000001</v>
      </c>
      <c r="G89" s="17">
        <v>81.8</v>
      </c>
      <c r="H89" s="63">
        <f>F89*G89</f>
        <v>16404.008399999999</v>
      </c>
      <c r="J89" s="21"/>
      <c r="K89" s="46"/>
      <c r="L89" s="46"/>
    </row>
    <row r="90" spans="1:16" ht="25.5">
      <c r="A90" s="116"/>
      <c r="B90" s="119"/>
      <c r="C90" s="122"/>
      <c r="D90" s="14" t="s">
        <v>16</v>
      </c>
      <c r="E90" s="15" t="s">
        <v>15</v>
      </c>
      <c r="F90" s="47">
        <f>F6+F13+F20+F27+F34+F41+F48+F55+F62+F69+F76+F83</f>
        <v>47954.177999999993</v>
      </c>
      <c r="G90" s="17">
        <v>81.8</v>
      </c>
      <c r="H90" s="63">
        <f>F90*G90</f>
        <v>3922651.7603999991</v>
      </c>
      <c r="J90" s="21"/>
      <c r="K90" s="21"/>
      <c r="L90" s="21"/>
    </row>
    <row r="91" spans="1:16" ht="25.5">
      <c r="A91" s="116"/>
      <c r="B91" s="119"/>
      <c r="C91" s="122"/>
      <c r="D91" s="14" t="s">
        <v>17</v>
      </c>
      <c r="E91" s="15" t="s">
        <v>15</v>
      </c>
      <c r="F91" s="47">
        <f>F7+F14+F21+F28+F35+F42+F49+F56+F63+F70+F77+F84</f>
        <v>29467.322</v>
      </c>
      <c r="G91" s="17">
        <v>81.8</v>
      </c>
      <c r="H91" s="63">
        <f>F91*G91</f>
        <v>2410426.9396000002</v>
      </c>
      <c r="J91" s="21"/>
      <c r="K91" s="21"/>
      <c r="L91" s="21"/>
    </row>
    <row r="92" spans="1:16">
      <c r="A92" s="116"/>
      <c r="B92" s="119"/>
      <c r="C92" s="122"/>
      <c r="D92" s="14" t="s">
        <v>18</v>
      </c>
      <c r="E92" s="15" t="s">
        <v>15</v>
      </c>
      <c r="F92" s="47">
        <f>F8+F15+F22+F29+F36+F43+F50+F57+F64+F71+F78+F85</f>
        <v>12820.283000000001</v>
      </c>
      <c r="G92" s="17">
        <v>81.8</v>
      </c>
      <c r="H92" s="63">
        <f>F92*G92</f>
        <v>1048699.1494</v>
      </c>
      <c r="K92" s="21"/>
      <c r="L92" s="21"/>
    </row>
    <row r="93" spans="1:16">
      <c r="A93" s="116"/>
      <c r="B93" s="119"/>
      <c r="C93" s="122"/>
      <c r="D93" s="35" t="s">
        <v>19</v>
      </c>
      <c r="E93" s="36"/>
      <c r="F93" s="24">
        <f>F88</f>
        <v>56.423000000000002</v>
      </c>
      <c r="G93" s="25"/>
      <c r="H93" s="26">
        <f>H88</f>
        <v>35057952.582960002</v>
      </c>
      <c r="I93" s="64">
        <f>H9+H16+H23+H30+H37+H44+H51+H58+H65+H72+H79+H86</f>
        <v>35057952.582959995</v>
      </c>
      <c r="J93" s="48"/>
      <c r="K93" s="48"/>
      <c r="L93" s="49"/>
      <c r="M93" s="27"/>
      <c r="N93" s="45"/>
      <c r="P93" s="27"/>
    </row>
    <row r="94" spans="1:16" ht="16.5" thickBot="1">
      <c r="A94" s="117"/>
      <c r="B94" s="120"/>
      <c r="C94" s="123"/>
      <c r="D94" s="37" t="s">
        <v>20</v>
      </c>
      <c r="E94" s="38"/>
      <c r="F94" s="30">
        <f>F90+F91+F92+F89</f>
        <v>90442.320999999996</v>
      </c>
      <c r="G94" s="31"/>
      <c r="H94" s="32">
        <f>H90+H91+H92+H89</f>
        <v>7398181.8577999985</v>
      </c>
      <c r="I94" s="64">
        <f>H10+H17+H24+H31+H38+H45+H52+H59+H66+H73+H80+H87</f>
        <v>7398181.8577999985</v>
      </c>
      <c r="J94" s="48"/>
      <c r="K94" s="48"/>
      <c r="L94" s="48"/>
      <c r="N94" s="45"/>
      <c r="P94" s="27"/>
    </row>
    <row r="95" spans="1:16">
      <c r="A95" s="50"/>
      <c r="B95" s="50"/>
      <c r="C95" s="51"/>
      <c r="D95" s="52"/>
      <c r="E95" s="53"/>
      <c r="F95" s="54"/>
      <c r="G95" s="55"/>
      <c r="H95" s="55"/>
      <c r="K95" s="27"/>
    </row>
    <row r="96" spans="1:16" s="56" customFormat="1" ht="18.75">
      <c r="E96" s="57"/>
      <c r="H96" s="58"/>
      <c r="J96" s="59"/>
      <c r="L96" s="58"/>
      <c r="M96" s="58"/>
    </row>
    <row r="97" spans="2:12" s="56" customFormat="1" ht="18.75">
      <c r="B97" s="56" t="s">
        <v>32</v>
      </c>
      <c r="E97" s="57"/>
      <c r="F97" s="56" t="s">
        <v>33</v>
      </c>
      <c r="L97" s="59"/>
    </row>
    <row r="98" spans="2:12" s="56" customFormat="1" ht="18.75">
      <c r="E98" s="57"/>
    </row>
    <row r="99" spans="2:12" s="56" customFormat="1" ht="18.75">
      <c r="B99" s="56" t="s">
        <v>34</v>
      </c>
      <c r="E99" s="57"/>
      <c r="F99" s="56" t="s">
        <v>35</v>
      </c>
    </row>
    <row r="103" spans="2:12">
      <c r="H103" s="27"/>
    </row>
  </sheetData>
  <mergeCells count="41">
    <mergeCell ref="A11:A17"/>
    <mergeCell ref="B11:B17"/>
    <mergeCell ref="C11:C17"/>
    <mergeCell ref="A1:H1"/>
    <mergeCell ref="J3:L3"/>
    <mergeCell ref="A4:A10"/>
    <mergeCell ref="B4:B10"/>
    <mergeCell ref="C4:C10"/>
    <mergeCell ref="A18:A24"/>
    <mergeCell ref="B18:B24"/>
    <mergeCell ref="C18:C24"/>
    <mergeCell ref="A25:A31"/>
    <mergeCell ref="B25:B31"/>
    <mergeCell ref="C25:C31"/>
    <mergeCell ref="A32:A38"/>
    <mergeCell ref="B32:B38"/>
    <mergeCell ref="C32:C38"/>
    <mergeCell ref="A39:A45"/>
    <mergeCell ref="B39:B45"/>
    <mergeCell ref="C39:C45"/>
    <mergeCell ref="A46:A52"/>
    <mergeCell ref="B46:B52"/>
    <mergeCell ref="C46:C52"/>
    <mergeCell ref="A53:A59"/>
    <mergeCell ref="B53:B59"/>
    <mergeCell ref="C53:C59"/>
    <mergeCell ref="A60:A66"/>
    <mergeCell ref="B60:B66"/>
    <mergeCell ref="C60:C66"/>
    <mergeCell ref="A67:A73"/>
    <mergeCell ref="B67:B73"/>
    <mergeCell ref="C67:C73"/>
    <mergeCell ref="A88:A94"/>
    <mergeCell ref="B88:B94"/>
    <mergeCell ref="C88:C94"/>
    <mergeCell ref="A74:A80"/>
    <mergeCell ref="B74:B80"/>
    <mergeCell ref="C74:C80"/>
    <mergeCell ref="A81:A87"/>
    <mergeCell ref="B81:B87"/>
    <mergeCell ref="C81:C8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03"/>
  <sheetViews>
    <sheetView workbookViewId="0">
      <selection activeCell="I98" sqref="I98"/>
    </sheetView>
  </sheetViews>
  <sheetFormatPr defaultRowHeight="15.75"/>
  <cols>
    <col min="1" max="1" width="5.5703125" style="2" customWidth="1"/>
    <col min="2" max="2" width="13.28515625" style="2" customWidth="1"/>
    <col min="3" max="3" width="17.140625" style="2" customWidth="1"/>
    <col min="4" max="4" width="43.28515625" style="2" customWidth="1"/>
    <col min="5" max="5" width="15" style="3" customWidth="1"/>
    <col min="6" max="6" width="18.28515625" style="2" customWidth="1"/>
    <col min="7" max="7" width="15.28515625" style="2" customWidth="1"/>
    <col min="8" max="8" width="19.85546875" style="2" customWidth="1"/>
    <col min="9" max="9" width="16.5703125" style="2" bestFit="1" customWidth="1"/>
    <col min="10" max="10" width="22" style="2" bestFit="1" customWidth="1"/>
    <col min="11" max="11" width="13.140625" style="2" bestFit="1" customWidth="1"/>
    <col min="12" max="12" width="22" style="2" bestFit="1" customWidth="1"/>
    <col min="13" max="13" width="16.42578125" style="2" bestFit="1" customWidth="1"/>
    <col min="14" max="14" width="17.85546875" style="2" bestFit="1" customWidth="1"/>
    <col min="15" max="256" width="9.140625" style="2"/>
    <col min="257" max="257" width="5.5703125" style="2" customWidth="1"/>
    <col min="258" max="258" width="13.28515625" style="2" customWidth="1"/>
    <col min="259" max="259" width="17.140625" style="2" customWidth="1"/>
    <col min="260" max="260" width="43.28515625" style="2" customWidth="1"/>
    <col min="261" max="261" width="15" style="2" customWidth="1"/>
    <col min="262" max="262" width="18.28515625" style="2" customWidth="1"/>
    <col min="263" max="263" width="15.28515625" style="2" customWidth="1"/>
    <col min="264" max="264" width="19.85546875" style="2" customWidth="1"/>
    <col min="265" max="265" width="16.5703125" style="2" bestFit="1" customWidth="1"/>
    <col min="266" max="266" width="22" style="2" bestFit="1" customWidth="1"/>
    <col min="267" max="267" width="13.140625" style="2" bestFit="1" customWidth="1"/>
    <col min="268" max="268" width="22" style="2" bestFit="1" customWidth="1"/>
    <col min="269" max="269" width="16.42578125" style="2" bestFit="1" customWidth="1"/>
    <col min="270" max="270" width="17.85546875" style="2" bestFit="1" customWidth="1"/>
    <col min="271" max="512" width="9.140625" style="2"/>
    <col min="513" max="513" width="5.5703125" style="2" customWidth="1"/>
    <col min="514" max="514" width="13.28515625" style="2" customWidth="1"/>
    <col min="515" max="515" width="17.140625" style="2" customWidth="1"/>
    <col min="516" max="516" width="43.28515625" style="2" customWidth="1"/>
    <col min="517" max="517" width="15" style="2" customWidth="1"/>
    <col min="518" max="518" width="18.28515625" style="2" customWidth="1"/>
    <col min="519" max="519" width="15.28515625" style="2" customWidth="1"/>
    <col min="520" max="520" width="19.85546875" style="2" customWidth="1"/>
    <col min="521" max="521" width="16.5703125" style="2" bestFit="1" customWidth="1"/>
    <col min="522" max="522" width="22" style="2" bestFit="1" customWidth="1"/>
    <col min="523" max="523" width="13.140625" style="2" bestFit="1" customWidth="1"/>
    <col min="524" max="524" width="22" style="2" bestFit="1" customWidth="1"/>
    <col min="525" max="525" width="16.42578125" style="2" bestFit="1" customWidth="1"/>
    <col min="526" max="526" width="17.85546875" style="2" bestFit="1" customWidth="1"/>
    <col min="527" max="768" width="9.140625" style="2"/>
    <col min="769" max="769" width="5.5703125" style="2" customWidth="1"/>
    <col min="770" max="770" width="13.28515625" style="2" customWidth="1"/>
    <col min="771" max="771" width="17.140625" style="2" customWidth="1"/>
    <col min="772" max="772" width="43.28515625" style="2" customWidth="1"/>
    <col min="773" max="773" width="15" style="2" customWidth="1"/>
    <col min="774" max="774" width="18.28515625" style="2" customWidth="1"/>
    <col min="775" max="775" width="15.28515625" style="2" customWidth="1"/>
    <col min="776" max="776" width="19.85546875" style="2" customWidth="1"/>
    <col min="777" max="777" width="16.5703125" style="2" bestFit="1" customWidth="1"/>
    <col min="778" max="778" width="22" style="2" bestFit="1" customWidth="1"/>
    <col min="779" max="779" width="13.140625" style="2" bestFit="1" customWidth="1"/>
    <col min="780" max="780" width="22" style="2" bestFit="1" customWidth="1"/>
    <col min="781" max="781" width="16.42578125" style="2" bestFit="1" customWidth="1"/>
    <col min="782" max="782" width="17.85546875" style="2" bestFit="1" customWidth="1"/>
    <col min="783" max="1024" width="9.140625" style="2"/>
    <col min="1025" max="1025" width="5.5703125" style="2" customWidth="1"/>
    <col min="1026" max="1026" width="13.28515625" style="2" customWidth="1"/>
    <col min="1027" max="1027" width="17.140625" style="2" customWidth="1"/>
    <col min="1028" max="1028" width="43.28515625" style="2" customWidth="1"/>
    <col min="1029" max="1029" width="15" style="2" customWidth="1"/>
    <col min="1030" max="1030" width="18.28515625" style="2" customWidth="1"/>
    <col min="1031" max="1031" width="15.28515625" style="2" customWidth="1"/>
    <col min="1032" max="1032" width="19.85546875" style="2" customWidth="1"/>
    <col min="1033" max="1033" width="16.5703125" style="2" bestFit="1" customWidth="1"/>
    <col min="1034" max="1034" width="22" style="2" bestFit="1" customWidth="1"/>
    <col min="1035" max="1035" width="13.140625" style="2" bestFit="1" customWidth="1"/>
    <col min="1036" max="1036" width="22" style="2" bestFit="1" customWidth="1"/>
    <col min="1037" max="1037" width="16.42578125" style="2" bestFit="1" customWidth="1"/>
    <col min="1038" max="1038" width="17.85546875" style="2" bestFit="1" customWidth="1"/>
    <col min="1039" max="1280" width="9.140625" style="2"/>
    <col min="1281" max="1281" width="5.5703125" style="2" customWidth="1"/>
    <col min="1282" max="1282" width="13.28515625" style="2" customWidth="1"/>
    <col min="1283" max="1283" width="17.140625" style="2" customWidth="1"/>
    <col min="1284" max="1284" width="43.28515625" style="2" customWidth="1"/>
    <col min="1285" max="1285" width="15" style="2" customWidth="1"/>
    <col min="1286" max="1286" width="18.28515625" style="2" customWidth="1"/>
    <col min="1287" max="1287" width="15.28515625" style="2" customWidth="1"/>
    <col min="1288" max="1288" width="19.85546875" style="2" customWidth="1"/>
    <col min="1289" max="1289" width="16.5703125" style="2" bestFit="1" customWidth="1"/>
    <col min="1290" max="1290" width="22" style="2" bestFit="1" customWidth="1"/>
    <col min="1291" max="1291" width="13.140625" style="2" bestFit="1" customWidth="1"/>
    <col min="1292" max="1292" width="22" style="2" bestFit="1" customWidth="1"/>
    <col min="1293" max="1293" width="16.42578125" style="2" bestFit="1" customWidth="1"/>
    <col min="1294" max="1294" width="17.85546875" style="2" bestFit="1" customWidth="1"/>
    <col min="1295" max="1536" width="9.140625" style="2"/>
    <col min="1537" max="1537" width="5.5703125" style="2" customWidth="1"/>
    <col min="1538" max="1538" width="13.28515625" style="2" customWidth="1"/>
    <col min="1539" max="1539" width="17.140625" style="2" customWidth="1"/>
    <col min="1540" max="1540" width="43.28515625" style="2" customWidth="1"/>
    <col min="1541" max="1541" width="15" style="2" customWidth="1"/>
    <col min="1542" max="1542" width="18.28515625" style="2" customWidth="1"/>
    <col min="1543" max="1543" width="15.28515625" style="2" customWidth="1"/>
    <col min="1544" max="1544" width="19.85546875" style="2" customWidth="1"/>
    <col min="1545" max="1545" width="16.5703125" style="2" bestFit="1" customWidth="1"/>
    <col min="1546" max="1546" width="22" style="2" bestFit="1" customWidth="1"/>
    <col min="1547" max="1547" width="13.140625" style="2" bestFit="1" customWidth="1"/>
    <col min="1548" max="1548" width="22" style="2" bestFit="1" customWidth="1"/>
    <col min="1549" max="1549" width="16.42578125" style="2" bestFit="1" customWidth="1"/>
    <col min="1550" max="1550" width="17.85546875" style="2" bestFit="1" customWidth="1"/>
    <col min="1551" max="1792" width="9.140625" style="2"/>
    <col min="1793" max="1793" width="5.5703125" style="2" customWidth="1"/>
    <col min="1794" max="1794" width="13.28515625" style="2" customWidth="1"/>
    <col min="1795" max="1795" width="17.140625" style="2" customWidth="1"/>
    <col min="1796" max="1796" width="43.28515625" style="2" customWidth="1"/>
    <col min="1797" max="1797" width="15" style="2" customWidth="1"/>
    <col min="1798" max="1798" width="18.28515625" style="2" customWidth="1"/>
    <col min="1799" max="1799" width="15.28515625" style="2" customWidth="1"/>
    <col min="1800" max="1800" width="19.85546875" style="2" customWidth="1"/>
    <col min="1801" max="1801" width="16.5703125" style="2" bestFit="1" customWidth="1"/>
    <col min="1802" max="1802" width="22" style="2" bestFit="1" customWidth="1"/>
    <col min="1803" max="1803" width="13.140625" style="2" bestFit="1" customWidth="1"/>
    <col min="1804" max="1804" width="22" style="2" bestFit="1" customWidth="1"/>
    <col min="1805" max="1805" width="16.42578125" style="2" bestFit="1" customWidth="1"/>
    <col min="1806" max="1806" width="17.85546875" style="2" bestFit="1" customWidth="1"/>
    <col min="1807" max="2048" width="9.140625" style="2"/>
    <col min="2049" max="2049" width="5.5703125" style="2" customWidth="1"/>
    <col min="2050" max="2050" width="13.28515625" style="2" customWidth="1"/>
    <col min="2051" max="2051" width="17.140625" style="2" customWidth="1"/>
    <col min="2052" max="2052" width="43.28515625" style="2" customWidth="1"/>
    <col min="2053" max="2053" width="15" style="2" customWidth="1"/>
    <col min="2054" max="2054" width="18.28515625" style="2" customWidth="1"/>
    <col min="2055" max="2055" width="15.28515625" style="2" customWidth="1"/>
    <col min="2056" max="2056" width="19.85546875" style="2" customWidth="1"/>
    <col min="2057" max="2057" width="16.5703125" style="2" bestFit="1" customWidth="1"/>
    <col min="2058" max="2058" width="22" style="2" bestFit="1" customWidth="1"/>
    <col min="2059" max="2059" width="13.140625" style="2" bestFit="1" customWidth="1"/>
    <col min="2060" max="2060" width="22" style="2" bestFit="1" customWidth="1"/>
    <col min="2061" max="2061" width="16.42578125" style="2" bestFit="1" customWidth="1"/>
    <col min="2062" max="2062" width="17.85546875" style="2" bestFit="1" customWidth="1"/>
    <col min="2063" max="2304" width="9.140625" style="2"/>
    <col min="2305" max="2305" width="5.5703125" style="2" customWidth="1"/>
    <col min="2306" max="2306" width="13.28515625" style="2" customWidth="1"/>
    <col min="2307" max="2307" width="17.140625" style="2" customWidth="1"/>
    <col min="2308" max="2308" width="43.28515625" style="2" customWidth="1"/>
    <col min="2309" max="2309" width="15" style="2" customWidth="1"/>
    <col min="2310" max="2310" width="18.28515625" style="2" customWidth="1"/>
    <col min="2311" max="2311" width="15.28515625" style="2" customWidth="1"/>
    <col min="2312" max="2312" width="19.85546875" style="2" customWidth="1"/>
    <col min="2313" max="2313" width="16.5703125" style="2" bestFit="1" customWidth="1"/>
    <col min="2314" max="2314" width="22" style="2" bestFit="1" customWidth="1"/>
    <col min="2315" max="2315" width="13.140625" style="2" bestFit="1" customWidth="1"/>
    <col min="2316" max="2316" width="22" style="2" bestFit="1" customWidth="1"/>
    <col min="2317" max="2317" width="16.42578125" style="2" bestFit="1" customWidth="1"/>
    <col min="2318" max="2318" width="17.85546875" style="2" bestFit="1" customWidth="1"/>
    <col min="2319" max="2560" width="9.140625" style="2"/>
    <col min="2561" max="2561" width="5.5703125" style="2" customWidth="1"/>
    <col min="2562" max="2562" width="13.28515625" style="2" customWidth="1"/>
    <col min="2563" max="2563" width="17.140625" style="2" customWidth="1"/>
    <col min="2564" max="2564" width="43.28515625" style="2" customWidth="1"/>
    <col min="2565" max="2565" width="15" style="2" customWidth="1"/>
    <col min="2566" max="2566" width="18.28515625" style="2" customWidth="1"/>
    <col min="2567" max="2567" width="15.28515625" style="2" customWidth="1"/>
    <col min="2568" max="2568" width="19.85546875" style="2" customWidth="1"/>
    <col min="2569" max="2569" width="16.5703125" style="2" bestFit="1" customWidth="1"/>
    <col min="2570" max="2570" width="22" style="2" bestFit="1" customWidth="1"/>
    <col min="2571" max="2571" width="13.140625" style="2" bestFit="1" customWidth="1"/>
    <col min="2572" max="2572" width="22" style="2" bestFit="1" customWidth="1"/>
    <col min="2573" max="2573" width="16.42578125" style="2" bestFit="1" customWidth="1"/>
    <col min="2574" max="2574" width="17.85546875" style="2" bestFit="1" customWidth="1"/>
    <col min="2575" max="2816" width="9.140625" style="2"/>
    <col min="2817" max="2817" width="5.5703125" style="2" customWidth="1"/>
    <col min="2818" max="2818" width="13.28515625" style="2" customWidth="1"/>
    <col min="2819" max="2819" width="17.140625" style="2" customWidth="1"/>
    <col min="2820" max="2820" width="43.28515625" style="2" customWidth="1"/>
    <col min="2821" max="2821" width="15" style="2" customWidth="1"/>
    <col min="2822" max="2822" width="18.28515625" style="2" customWidth="1"/>
    <col min="2823" max="2823" width="15.28515625" style="2" customWidth="1"/>
    <col min="2824" max="2824" width="19.85546875" style="2" customWidth="1"/>
    <col min="2825" max="2825" width="16.5703125" style="2" bestFit="1" customWidth="1"/>
    <col min="2826" max="2826" width="22" style="2" bestFit="1" customWidth="1"/>
    <col min="2827" max="2827" width="13.140625" style="2" bestFit="1" customWidth="1"/>
    <col min="2828" max="2828" width="22" style="2" bestFit="1" customWidth="1"/>
    <col min="2829" max="2829" width="16.42578125" style="2" bestFit="1" customWidth="1"/>
    <col min="2830" max="2830" width="17.85546875" style="2" bestFit="1" customWidth="1"/>
    <col min="2831" max="3072" width="9.140625" style="2"/>
    <col min="3073" max="3073" width="5.5703125" style="2" customWidth="1"/>
    <col min="3074" max="3074" width="13.28515625" style="2" customWidth="1"/>
    <col min="3075" max="3075" width="17.140625" style="2" customWidth="1"/>
    <col min="3076" max="3076" width="43.28515625" style="2" customWidth="1"/>
    <col min="3077" max="3077" width="15" style="2" customWidth="1"/>
    <col min="3078" max="3078" width="18.28515625" style="2" customWidth="1"/>
    <col min="3079" max="3079" width="15.28515625" style="2" customWidth="1"/>
    <col min="3080" max="3080" width="19.85546875" style="2" customWidth="1"/>
    <col min="3081" max="3081" width="16.5703125" style="2" bestFit="1" customWidth="1"/>
    <col min="3082" max="3082" width="22" style="2" bestFit="1" customWidth="1"/>
    <col min="3083" max="3083" width="13.140625" style="2" bestFit="1" customWidth="1"/>
    <col min="3084" max="3084" width="22" style="2" bestFit="1" customWidth="1"/>
    <col min="3085" max="3085" width="16.42578125" style="2" bestFit="1" customWidth="1"/>
    <col min="3086" max="3086" width="17.85546875" style="2" bestFit="1" customWidth="1"/>
    <col min="3087" max="3328" width="9.140625" style="2"/>
    <col min="3329" max="3329" width="5.5703125" style="2" customWidth="1"/>
    <col min="3330" max="3330" width="13.28515625" style="2" customWidth="1"/>
    <col min="3331" max="3331" width="17.140625" style="2" customWidth="1"/>
    <col min="3332" max="3332" width="43.28515625" style="2" customWidth="1"/>
    <col min="3333" max="3333" width="15" style="2" customWidth="1"/>
    <col min="3334" max="3334" width="18.28515625" style="2" customWidth="1"/>
    <col min="3335" max="3335" width="15.28515625" style="2" customWidth="1"/>
    <col min="3336" max="3336" width="19.85546875" style="2" customWidth="1"/>
    <col min="3337" max="3337" width="16.5703125" style="2" bestFit="1" customWidth="1"/>
    <col min="3338" max="3338" width="22" style="2" bestFit="1" customWidth="1"/>
    <col min="3339" max="3339" width="13.140625" style="2" bestFit="1" customWidth="1"/>
    <col min="3340" max="3340" width="22" style="2" bestFit="1" customWidth="1"/>
    <col min="3341" max="3341" width="16.42578125" style="2" bestFit="1" customWidth="1"/>
    <col min="3342" max="3342" width="17.85546875" style="2" bestFit="1" customWidth="1"/>
    <col min="3343" max="3584" width="9.140625" style="2"/>
    <col min="3585" max="3585" width="5.5703125" style="2" customWidth="1"/>
    <col min="3586" max="3586" width="13.28515625" style="2" customWidth="1"/>
    <col min="3587" max="3587" width="17.140625" style="2" customWidth="1"/>
    <col min="3588" max="3588" width="43.28515625" style="2" customWidth="1"/>
    <col min="3589" max="3589" width="15" style="2" customWidth="1"/>
    <col min="3590" max="3590" width="18.28515625" style="2" customWidth="1"/>
    <col min="3591" max="3591" width="15.28515625" style="2" customWidth="1"/>
    <col min="3592" max="3592" width="19.85546875" style="2" customWidth="1"/>
    <col min="3593" max="3593" width="16.5703125" style="2" bestFit="1" customWidth="1"/>
    <col min="3594" max="3594" width="22" style="2" bestFit="1" customWidth="1"/>
    <col min="3595" max="3595" width="13.140625" style="2" bestFit="1" customWidth="1"/>
    <col min="3596" max="3596" width="22" style="2" bestFit="1" customWidth="1"/>
    <col min="3597" max="3597" width="16.42578125" style="2" bestFit="1" customWidth="1"/>
    <col min="3598" max="3598" width="17.85546875" style="2" bestFit="1" customWidth="1"/>
    <col min="3599" max="3840" width="9.140625" style="2"/>
    <col min="3841" max="3841" width="5.5703125" style="2" customWidth="1"/>
    <col min="3842" max="3842" width="13.28515625" style="2" customWidth="1"/>
    <col min="3843" max="3843" width="17.140625" style="2" customWidth="1"/>
    <col min="3844" max="3844" width="43.28515625" style="2" customWidth="1"/>
    <col min="3845" max="3845" width="15" style="2" customWidth="1"/>
    <col min="3846" max="3846" width="18.28515625" style="2" customWidth="1"/>
    <col min="3847" max="3847" width="15.28515625" style="2" customWidth="1"/>
    <col min="3848" max="3848" width="19.85546875" style="2" customWidth="1"/>
    <col min="3849" max="3849" width="16.5703125" style="2" bestFit="1" customWidth="1"/>
    <col min="3850" max="3850" width="22" style="2" bestFit="1" customWidth="1"/>
    <col min="3851" max="3851" width="13.140625" style="2" bestFit="1" customWidth="1"/>
    <col min="3852" max="3852" width="22" style="2" bestFit="1" customWidth="1"/>
    <col min="3853" max="3853" width="16.42578125" style="2" bestFit="1" customWidth="1"/>
    <col min="3854" max="3854" width="17.85546875" style="2" bestFit="1" customWidth="1"/>
    <col min="3855" max="4096" width="9.140625" style="2"/>
    <col min="4097" max="4097" width="5.5703125" style="2" customWidth="1"/>
    <col min="4098" max="4098" width="13.28515625" style="2" customWidth="1"/>
    <col min="4099" max="4099" width="17.140625" style="2" customWidth="1"/>
    <col min="4100" max="4100" width="43.28515625" style="2" customWidth="1"/>
    <col min="4101" max="4101" width="15" style="2" customWidth="1"/>
    <col min="4102" max="4102" width="18.28515625" style="2" customWidth="1"/>
    <col min="4103" max="4103" width="15.28515625" style="2" customWidth="1"/>
    <col min="4104" max="4104" width="19.85546875" style="2" customWidth="1"/>
    <col min="4105" max="4105" width="16.5703125" style="2" bestFit="1" customWidth="1"/>
    <col min="4106" max="4106" width="22" style="2" bestFit="1" customWidth="1"/>
    <col min="4107" max="4107" width="13.140625" style="2" bestFit="1" customWidth="1"/>
    <col min="4108" max="4108" width="22" style="2" bestFit="1" customWidth="1"/>
    <col min="4109" max="4109" width="16.42578125" style="2" bestFit="1" customWidth="1"/>
    <col min="4110" max="4110" width="17.85546875" style="2" bestFit="1" customWidth="1"/>
    <col min="4111" max="4352" width="9.140625" style="2"/>
    <col min="4353" max="4353" width="5.5703125" style="2" customWidth="1"/>
    <col min="4354" max="4354" width="13.28515625" style="2" customWidth="1"/>
    <col min="4355" max="4355" width="17.140625" style="2" customWidth="1"/>
    <col min="4356" max="4356" width="43.28515625" style="2" customWidth="1"/>
    <col min="4357" max="4357" width="15" style="2" customWidth="1"/>
    <col min="4358" max="4358" width="18.28515625" style="2" customWidth="1"/>
    <col min="4359" max="4359" width="15.28515625" style="2" customWidth="1"/>
    <col min="4360" max="4360" width="19.85546875" style="2" customWidth="1"/>
    <col min="4361" max="4361" width="16.5703125" style="2" bestFit="1" customWidth="1"/>
    <col min="4362" max="4362" width="22" style="2" bestFit="1" customWidth="1"/>
    <col min="4363" max="4363" width="13.140625" style="2" bestFit="1" customWidth="1"/>
    <col min="4364" max="4364" width="22" style="2" bestFit="1" customWidth="1"/>
    <col min="4365" max="4365" width="16.42578125" style="2" bestFit="1" customWidth="1"/>
    <col min="4366" max="4366" width="17.85546875" style="2" bestFit="1" customWidth="1"/>
    <col min="4367" max="4608" width="9.140625" style="2"/>
    <col min="4609" max="4609" width="5.5703125" style="2" customWidth="1"/>
    <col min="4610" max="4610" width="13.28515625" style="2" customWidth="1"/>
    <col min="4611" max="4611" width="17.140625" style="2" customWidth="1"/>
    <col min="4612" max="4612" width="43.28515625" style="2" customWidth="1"/>
    <col min="4613" max="4613" width="15" style="2" customWidth="1"/>
    <col min="4614" max="4614" width="18.28515625" style="2" customWidth="1"/>
    <col min="4615" max="4615" width="15.28515625" style="2" customWidth="1"/>
    <col min="4616" max="4616" width="19.85546875" style="2" customWidth="1"/>
    <col min="4617" max="4617" width="16.5703125" style="2" bestFit="1" customWidth="1"/>
    <col min="4618" max="4618" width="22" style="2" bestFit="1" customWidth="1"/>
    <col min="4619" max="4619" width="13.140625" style="2" bestFit="1" customWidth="1"/>
    <col min="4620" max="4620" width="22" style="2" bestFit="1" customWidth="1"/>
    <col min="4621" max="4621" width="16.42578125" style="2" bestFit="1" customWidth="1"/>
    <col min="4622" max="4622" width="17.85546875" style="2" bestFit="1" customWidth="1"/>
    <col min="4623" max="4864" width="9.140625" style="2"/>
    <col min="4865" max="4865" width="5.5703125" style="2" customWidth="1"/>
    <col min="4866" max="4866" width="13.28515625" style="2" customWidth="1"/>
    <col min="4867" max="4867" width="17.140625" style="2" customWidth="1"/>
    <col min="4868" max="4868" width="43.28515625" style="2" customWidth="1"/>
    <col min="4869" max="4869" width="15" style="2" customWidth="1"/>
    <col min="4870" max="4870" width="18.28515625" style="2" customWidth="1"/>
    <col min="4871" max="4871" width="15.28515625" style="2" customWidth="1"/>
    <col min="4872" max="4872" width="19.85546875" style="2" customWidth="1"/>
    <col min="4873" max="4873" width="16.5703125" style="2" bestFit="1" customWidth="1"/>
    <col min="4874" max="4874" width="22" style="2" bestFit="1" customWidth="1"/>
    <col min="4875" max="4875" width="13.140625" style="2" bestFit="1" customWidth="1"/>
    <col min="4876" max="4876" width="22" style="2" bestFit="1" customWidth="1"/>
    <col min="4877" max="4877" width="16.42578125" style="2" bestFit="1" customWidth="1"/>
    <col min="4878" max="4878" width="17.85546875" style="2" bestFit="1" customWidth="1"/>
    <col min="4879" max="5120" width="9.140625" style="2"/>
    <col min="5121" max="5121" width="5.5703125" style="2" customWidth="1"/>
    <col min="5122" max="5122" width="13.28515625" style="2" customWidth="1"/>
    <col min="5123" max="5123" width="17.140625" style="2" customWidth="1"/>
    <col min="5124" max="5124" width="43.28515625" style="2" customWidth="1"/>
    <col min="5125" max="5125" width="15" style="2" customWidth="1"/>
    <col min="5126" max="5126" width="18.28515625" style="2" customWidth="1"/>
    <col min="5127" max="5127" width="15.28515625" style="2" customWidth="1"/>
    <col min="5128" max="5128" width="19.85546875" style="2" customWidth="1"/>
    <col min="5129" max="5129" width="16.5703125" style="2" bestFit="1" customWidth="1"/>
    <col min="5130" max="5130" width="22" style="2" bestFit="1" customWidth="1"/>
    <col min="5131" max="5131" width="13.140625" style="2" bestFit="1" customWidth="1"/>
    <col min="5132" max="5132" width="22" style="2" bestFit="1" customWidth="1"/>
    <col min="5133" max="5133" width="16.42578125" style="2" bestFit="1" customWidth="1"/>
    <col min="5134" max="5134" width="17.85546875" style="2" bestFit="1" customWidth="1"/>
    <col min="5135" max="5376" width="9.140625" style="2"/>
    <col min="5377" max="5377" width="5.5703125" style="2" customWidth="1"/>
    <col min="5378" max="5378" width="13.28515625" style="2" customWidth="1"/>
    <col min="5379" max="5379" width="17.140625" style="2" customWidth="1"/>
    <col min="5380" max="5380" width="43.28515625" style="2" customWidth="1"/>
    <col min="5381" max="5381" width="15" style="2" customWidth="1"/>
    <col min="5382" max="5382" width="18.28515625" style="2" customWidth="1"/>
    <col min="5383" max="5383" width="15.28515625" style="2" customWidth="1"/>
    <col min="5384" max="5384" width="19.85546875" style="2" customWidth="1"/>
    <col min="5385" max="5385" width="16.5703125" style="2" bestFit="1" customWidth="1"/>
    <col min="5386" max="5386" width="22" style="2" bestFit="1" customWidth="1"/>
    <col min="5387" max="5387" width="13.140625" style="2" bestFit="1" customWidth="1"/>
    <col min="5388" max="5388" width="22" style="2" bestFit="1" customWidth="1"/>
    <col min="5389" max="5389" width="16.42578125" style="2" bestFit="1" customWidth="1"/>
    <col min="5390" max="5390" width="17.85546875" style="2" bestFit="1" customWidth="1"/>
    <col min="5391" max="5632" width="9.140625" style="2"/>
    <col min="5633" max="5633" width="5.5703125" style="2" customWidth="1"/>
    <col min="5634" max="5634" width="13.28515625" style="2" customWidth="1"/>
    <col min="5635" max="5635" width="17.140625" style="2" customWidth="1"/>
    <col min="5636" max="5636" width="43.28515625" style="2" customWidth="1"/>
    <col min="5637" max="5637" width="15" style="2" customWidth="1"/>
    <col min="5638" max="5638" width="18.28515625" style="2" customWidth="1"/>
    <col min="5639" max="5639" width="15.28515625" style="2" customWidth="1"/>
    <col min="5640" max="5640" width="19.85546875" style="2" customWidth="1"/>
    <col min="5641" max="5641" width="16.5703125" style="2" bestFit="1" customWidth="1"/>
    <col min="5642" max="5642" width="22" style="2" bestFit="1" customWidth="1"/>
    <col min="5643" max="5643" width="13.140625" style="2" bestFit="1" customWidth="1"/>
    <col min="5644" max="5644" width="22" style="2" bestFit="1" customWidth="1"/>
    <col min="5645" max="5645" width="16.42578125" style="2" bestFit="1" customWidth="1"/>
    <col min="5646" max="5646" width="17.85546875" style="2" bestFit="1" customWidth="1"/>
    <col min="5647" max="5888" width="9.140625" style="2"/>
    <col min="5889" max="5889" width="5.5703125" style="2" customWidth="1"/>
    <col min="5890" max="5890" width="13.28515625" style="2" customWidth="1"/>
    <col min="5891" max="5891" width="17.140625" style="2" customWidth="1"/>
    <col min="5892" max="5892" width="43.28515625" style="2" customWidth="1"/>
    <col min="5893" max="5893" width="15" style="2" customWidth="1"/>
    <col min="5894" max="5894" width="18.28515625" style="2" customWidth="1"/>
    <col min="5895" max="5895" width="15.28515625" style="2" customWidth="1"/>
    <col min="5896" max="5896" width="19.85546875" style="2" customWidth="1"/>
    <col min="5897" max="5897" width="16.5703125" style="2" bestFit="1" customWidth="1"/>
    <col min="5898" max="5898" width="22" style="2" bestFit="1" customWidth="1"/>
    <col min="5899" max="5899" width="13.140625" style="2" bestFit="1" customWidth="1"/>
    <col min="5900" max="5900" width="22" style="2" bestFit="1" customWidth="1"/>
    <col min="5901" max="5901" width="16.42578125" style="2" bestFit="1" customWidth="1"/>
    <col min="5902" max="5902" width="17.85546875" style="2" bestFit="1" customWidth="1"/>
    <col min="5903" max="6144" width="9.140625" style="2"/>
    <col min="6145" max="6145" width="5.5703125" style="2" customWidth="1"/>
    <col min="6146" max="6146" width="13.28515625" style="2" customWidth="1"/>
    <col min="6147" max="6147" width="17.140625" style="2" customWidth="1"/>
    <col min="6148" max="6148" width="43.28515625" style="2" customWidth="1"/>
    <col min="6149" max="6149" width="15" style="2" customWidth="1"/>
    <col min="6150" max="6150" width="18.28515625" style="2" customWidth="1"/>
    <col min="6151" max="6151" width="15.28515625" style="2" customWidth="1"/>
    <col min="6152" max="6152" width="19.85546875" style="2" customWidth="1"/>
    <col min="6153" max="6153" width="16.5703125" style="2" bestFit="1" customWidth="1"/>
    <col min="6154" max="6154" width="22" style="2" bestFit="1" customWidth="1"/>
    <col min="6155" max="6155" width="13.140625" style="2" bestFit="1" customWidth="1"/>
    <col min="6156" max="6156" width="22" style="2" bestFit="1" customWidth="1"/>
    <col min="6157" max="6157" width="16.42578125" style="2" bestFit="1" customWidth="1"/>
    <col min="6158" max="6158" width="17.85546875" style="2" bestFit="1" customWidth="1"/>
    <col min="6159" max="6400" width="9.140625" style="2"/>
    <col min="6401" max="6401" width="5.5703125" style="2" customWidth="1"/>
    <col min="6402" max="6402" width="13.28515625" style="2" customWidth="1"/>
    <col min="6403" max="6403" width="17.140625" style="2" customWidth="1"/>
    <col min="6404" max="6404" width="43.28515625" style="2" customWidth="1"/>
    <col min="6405" max="6405" width="15" style="2" customWidth="1"/>
    <col min="6406" max="6406" width="18.28515625" style="2" customWidth="1"/>
    <col min="6407" max="6407" width="15.28515625" style="2" customWidth="1"/>
    <col min="6408" max="6408" width="19.85546875" style="2" customWidth="1"/>
    <col min="6409" max="6409" width="16.5703125" style="2" bestFit="1" customWidth="1"/>
    <col min="6410" max="6410" width="22" style="2" bestFit="1" customWidth="1"/>
    <col min="6411" max="6411" width="13.140625" style="2" bestFit="1" customWidth="1"/>
    <col min="6412" max="6412" width="22" style="2" bestFit="1" customWidth="1"/>
    <col min="6413" max="6413" width="16.42578125" style="2" bestFit="1" customWidth="1"/>
    <col min="6414" max="6414" width="17.85546875" style="2" bestFit="1" customWidth="1"/>
    <col min="6415" max="6656" width="9.140625" style="2"/>
    <col min="6657" max="6657" width="5.5703125" style="2" customWidth="1"/>
    <col min="6658" max="6658" width="13.28515625" style="2" customWidth="1"/>
    <col min="6659" max="6659" width="17.140625" style="2" customWidth="1"/>
    <col min="6660" max="6660" width="43.28515625" style="2" customWidth="1"/>
    <col min="6661" max="6661" width="15" style="2" customWidth="1"/>
    <col min="6662" max="6662" width="18.28515625" style="2" customWidth="1"/>
    <col min="6663" max="6663" width="15.28515625" style="2" customWidth="1"/>
    <col min="6664" max="6664" width="19.85546875" style="2" customWidth="1"/>
    <col min="6665" max="6665" width="16.5703125" style="2" bestFit="1" customWidth="1"/>
    <col min="6666" max="6666" width="22" style="2" bestFit="1" customWidth="1"/>
    <col min="6667" max="6667" width="13.140625" style="2" bestFit="1" customWidth="1"/>
    <col min="6668" max="6668" width="22" style="2" bestFit="1" customWidth="1"/>
    <col min="6669" max="6669" width="16.42578125" style="2" bestFit="1" customWidth="1"/>
    <col min="6670" max="6670" width="17.85546875" style="2" bestFit="1" customWidth="1"/>
    <col min="6671" max="6912" width="9.140625" style="2"/>
    <col min="6913" max="6913" width="5.5703125" style="2" customWidth="1"/>
    <col min="6914" max="6914" width="13.28515625" style="2" customWidth="1"/>
    <col min="6915" max="6915" width="17.140625" style="2" customWidth="1"/>
    <col min="6916" max="6916" width="43.28515625" style="2" customWidth="1"/>
    <col min="6917" max="6917" width="15" style="2" customWidth="1"/>
    <col min="6918" max="6918" width="18.28515625" style="2" customWidth="1"/>
    <col min="6919" max="6919" width="15.28515625" style="2" customWidth="1"/>
    <col min="6920" max="6920" width="19.85546875" style="2" customWidth="1"/>
    <col min="6921" max="6921" width="16.5703125" style="2" bestFit="1" customWidth="1"/>
    <col min="6922" max="6922" width="22" style="2" bestFit="1" customWidth="1"/>
    <col min="6923" max="6923" width="13.140625" style="2" bestFit="1" customWidth="1"/>
    <col min="6924" max="6924" width="22" style="2" bestFit="1" customWidth="1"/>
    <col min="6925" max="6925" width="16.42578125" style="2" bestFit="1" customWidth="1"/>
    <col min="6926" max="6926" width="17.85546875" style="2" bestFit="1" customWidth="1"/>
    <col min="6927" max="7168" width="9.140625" style="2"/>
    <col min="7169" max="7169" width="5.5703125" style="2" customWidth="1"/>
    <col min="7170" max="7170" width="13.28515625" style="2" customWidth="1"/>
    <col min="7171" max="7171" width="17.140625" style="2" customWidth="1"/>
    <col min="7172" max="7172" width="43.28515625" style="2" customWidth="1"/>
    <col min="7173" max="7173" width="15" style="2" customWidth="1"/>
    <col min="7174" max="7174" width="18.28515625" style="2" customWidth="1"/>
    <col min="7175" max="7175" width="15.28515625" style="2" customWidth="1"/>
    <col min="7176" max="7176" width="19.85546875" style="2" customWidth="1"/>
    <col min="7177" max="7177" width="16.5703125" style="2" bestFit="1" customWidth="1"/>
    <col min="7178" max="7178" width="22" style="2" bestFit="1" customWidth="1"/>
    <col min="7179" max="7179" width="13.140625" style="2" bestFit="1" customWidth="1"/>
    <col min="7180" max="7180" width="22" style="2" bestFit="1" customWidth="1"/>
    <col min="7181" max="7181" width="16.42578125" style="2" bestFit="1" customWidth="1"/>
    <col min="7182" max="7182" width="17.85546875" style="2" bestFit="1" customWidth="1"/>
    <col min="7183" max="7424" width="9.140625" style="2"/>
    <col min="7425" max="7425" width="5.5703125" style="2" customWidth="1"/>
    <col min="7426" max="7426" width="13.28515625" style="2" customWidth="1"/>
    <col min="7427" max="7427" width="17.140625" style="2" customWidth="1"/>
    <col min="7428" max="7428" width="43.28515625" style="2" customWidth="1"/>
    <col min="7429" max="7429" width="15" style="2" customWidth="1"/>
    <col min="7430" max="7430" width="18.28515625" style="2" customWidth="1"/>
    <col min="7431" max="7431" width="15.28515625" style="2" customWidth="1"/>
    <col min="7432" max="7432" width="19.85546875" style="2" customWidth="1"/>
    <col min="7433" max="7433" width="16.5703125" style="2" bestFit="1" customWidth="1"/>
    <col min="7434" max="7434" width="22" style="2" bestFit="1" customWidth="1"/>
    <col min="7435" max="7435" width="13.140625" style="2" bestFit="1" customWidth="1"/>
    <col min="7436" max="7436" width="22" style="2" bestFit="1" customWidth="1"/>
    <col min="7437" max="7437" width="16.42578125" style="2" bestFit="1" customWidth="1"/>
    <col min="7438" max="7438" width="17.85546875" style="2" bestFit="1" customWidth="1"/>
    <col min="7439" max="7680" width="9.140625" style="2"/>
    <col min="7681" max="7681" width="5.5703125" style="2" customWidth="1"/>
    <col min="7682" max="7682" width="13.28515625" style="2" customWidth="1"/>
    <col min="7683" max="7683" width="17.140625" style="2" customWidth="1"/>
    <col min="7684" max="7684" width="43.28515625" style="2" customWidth="1"/>
    <col min="7685" max="7685" width="15" style="2" customWidth="1"/>
    <col min="7686" max="7686" width="18.28515625" style="2" customWidth="1"/>
    <col min="7687" max="7687" width="15.28515625" style="2" customWidth="1"/>
    <col min="7688" max="7688" width="19.85546875" style="2" customWidth="1"/>
    <col min="7689" max="7689" width="16.5703125" style="2" bestFit="1" customWidth="1"/>
    <col min="7690" max="7690" width="22" style="2" bestFit="1" customWidth="1"/>
    <col min="7691" max="7691" width="13.140625" style="2" bestFit="1" customWidth="1"/>
    <col min="7692" max="7692" width="22" style="2" bestFit="1" customWidth="1"/>
    <col min="7693" max="7693" width="16.42578125" style="2" bestFit="1" customWidth="1"/>
    <col min="7694" max="7694" width="17.85546875" style="2" bestFit="1" customWidth="1"/>
    <col min="7695" max="7936" width="9.140625" style="2"/>
    <col min="7937" max="7937" width="5.5703125" style="2" customWidth="1"/>
    <col min="7938" max="7938" width="13.28515625" style="2" customWidth="1"/>
    <col min="7939" max="7939" width="17.140625" style="2" customWidth="1"/>
    <col min="7940" max="7940" width="43.28515625" style="2" customWidth="1"/>
    <col min="7941" max="7941" width="15" style="2" customWidth="1"/>
    <col min="7942" max="7942" width="18.28515625" style="2" customWidth="1"/>
    <col min="7943" max="7943" width="15.28515625" style="2" customWidth="1"/>
    <col min="7944" max="7944" width="19.85546875" style="2" customWidth="1"/>
    <col min="7945" max="7945" width="16.5703125" style="2" bestFit="1" customWidth="1"/>
    <col min="7946" max="7946" width="22" style="2" bestFit="1" customWidth="1"/>
    <col min="7947" max="7947" width="13.140625" style="2" bestFit="1" customWidth="1"/>
    <col min="7948" max="7948" width="22" style="2" bestFit="1" customWidth="1"/>
    <col min="7949" max="7949" width="16.42578125" style="2" bestFit="1" customWidth="1"/>
    <col min="7950" max="7950" width="17.85546875" style="2" bestFit="1" customWidth="1"/>
    <col min="7951" max="8192" width="9.140625" style="2"/>
    <col min="8193" max="8193" width="5.5703125" style="2" customWidth="1"/>
    <col min="8194" max="8194" width="13.28515625" style="2" customWidth="1"/>
    <col min="8195" max="8195" width="17.140625" style="2" customWidth="1"/>
    <col min="8196" max="8196" width="43.28515625" style="2" customWidth="1"/>
    <col min="8197" max="8197" width="15" style="2" customWidth="1"/>
    <col min="8198" max="8198" width="18.28515625" style="2" customWidth="1"/>
    <col min="8199" max="8199" width="15.28515625" style="2" customWidth="1"/>
    <col min="8200" max="8200" width="19.85546875" style="2" customWidth="1"/>
    <col min="8201" max="8201" width="16.5703125" style="2" bestFit="1" customWidth="1"/>
    <col min="8202" max="8202" width="22" style="2" bestFit="1" customWidth="1"/>
    <col min="8203" max="8203" width="13.140625" style="2" bestFit="1" customWidth="1"/>
    <col min="8204" max="8204" width="22" style="2" bestFit="1" customWidth="1"/>
    <col min="8205" max="8205" width="16.42578125" style="2" bestFit="1" customWidth="1"/>
    <col min="8206" max="8206" width="17.85546875" style="2" bestFit="1" customWidth="1"/>
    <col min="8207" max="8448" width="9.140625" style="2"/>
    <col min="8449" max="8449" width="5.5703125" style="2" customWidth="1"/>
    <col min="8450" max="8450" width="13.28515625" style="2" customWidth="1"/>
    <col min="8451" max="8451" width="17.140625" style="2" customWidth="1"/>
    <col min="8452" max="8452" width="43.28515625" style="2" customWidth="1"/>
    <col min="8453" max="8453" width="15" style="2" customWidth="1"/>
    <col min="8454" max="8454" width="18.28515625" style="2" customWidth="1"/>
    <col min="8455" max="8455" width="15.28515625" style="2" customWidth="1"/>
    <col min="8456" max="8456" width="19.85546875" style="2" customWidth="1"/>
    <col min="8457" max="8457" width="16.5703125" style="2" bestFit="1" customWidth="1"/>
    <col min="8458" max="8458" width="22" style="2" bestFit="1" customWidth="1"/>
    <col min="8459" max="8459" width="13.140625" style="2" bestFit="1" customWidth="1"/>
    <col min="8460" max="8460" width="22" style="2" bestFit="1" customWidth="1"/>
    <col min="8461" max="8461" width="16.42578125" style="2" bestFit="1" customWidth="1"/>
    <col min="8462" max="8462" width="17.85546875" style="2" bestFit="1" customWidth="1"/>
    <col min="8463" max="8704" width="9.140625" style="2"/>
    <col min="8705" max="8705" width="5.5703125" style="2" customWidth="1"/>
    <col min="8706" max="8706" width="13.28515625" style="2" customWidth="1"/>
    <col min="8707" max="8707" width="17.140625" style="2" customWidth="1"/>
    <col min="8708" max="8708" width="43.28515625" style="2" customWidth="1"/>
    <col min="8709" max="8709" width="15" style="2" customWidth="1"/>
    <col min="8710" max="8710" width="18.28515625" style="2" customWidth="1"/>
    <col min="8711" max="8711" width="15.28515625" style="2" customWidth="1"/>
    <col min="8712" max="8712" width="19.85546875" style="2" customWidth="1"/>
    <col min="8713" max="8713" width="16.5703125" style="2" bestFit="1" customWidth="1"/>
    <col min="8714" max="8714" width="22" style="2" bestFit="1" customWidth="1"/>
    <col min="8715" max="8715" width="13.140625" style="2" bestFit="1" customWidth="1"/>
    <col min="8716" max="8716" width="22" style="2" bestFit="1" customWidth="1"/>
    <col min="8717" max="8717" width="16.42578125" style="2" bestFit="1" customWidth="1"/>
    <col min="8718" max="8718" width="17.85546875" style="2" bestFit="1" customWidth="1"/>
    <col min="8719" max="8960" width="9.140625" style="2"/>
    <col min="8961" max="8961" width="5.5703125" style="2" customWidth="1"/>
    <col min="8962" max="8962" width="13.28515625" style="2" customWidth="1"/>
    <col min="8963" max="8963" width="17.140625" style="2" customWidth="1"/>
    <col min="8964" max="8964" width="43.28515625" style="2" customWidth="1"/>
    <col min="8965" max="8965" width="15" style="2" customWidth="1"/>
    <col min="8966" max="8966" width="18.28515625" style="2" customWidth="1"/>
    <col min="8967" max="8967" width="15.28515625" style="2" customWidth="1"/>
    <col min="8968" max="8968" width="19.85546875" style="2" customWidth="1"/>
    <col min="8969" max="8969" width="16.5703125" style="2" bestFit="1" customWidth="1"/>
    <col min="8970" max="8970" width="22" style="2" bestFit="1" customWidth="1"/>
    <col min="8971" max="8971" width="13.140625" style="2" bestFit="1" customWidth="1"/>
    <col min="8972" max="8972" width="22" style="2" bestFit="1" customWidth="1"/>
    <col min="8973" max="8973" width="16.42578125" style="2" bestFit="1" customWidth="1"/>
    <col min="8974" max="8974" width="17.85546875" style="2" bestFit="1" customWidth="1"/>
    <col min="8975" max="9216" width="9.140625" style="2"/>
    <col min="9217" max="9217" width="5.5703125" style="2" customWidth="1"/>
    <col min="9218" max="9218" width="13.28515625" style="2" customWidth="1"/>
    <col min="9219" max="9219" width="17.140625" style="2" customWidth="1"/>
    <col min="9220" max="9220" width="43.28515625" style="2" customWidth="1"/>
    <col min="9221" max="9221" width="15" style="2" customWidth="1"/>
    <col min="9222" max="9222" width="18.28515625" style="2" customWidth="1"/>
    <col min="9223" max="9223" width="15.28515625" style="2" customWidth="1"/>
    <col min="9224" max="9224" width="19.85546875" style="2" customWidth="1"/>
    <col min="9225" max="9225" width="16.5703125" style="2" bestFit="1" customWidth="1"/>
    <col min="9226" max="9226" width="22" style="2" bestFit="1" customWidth="1"/>
    <col min="9227" max="9227" width="13.140625" style="2" bestFit="1" customWidth="1"/>
    <col min="9228" max="9228" width="22" style="2" bestFit="1" customWidth="1"/>
    <col min="9229" max="9229" width="16.42578125" style="2" bestFit="1" customWidth="1"/>
    <col min="9230" max="9230" width="17.85546875" style="2" bestFit="1" customWidth="1"/>
    <col min="9231" max="9472" width="9.140625" style="2"/>
    <col min="9473" max="9473" width="5.5703125" style="2" customWidth="1"/>
    <col min="9474" max="9474" width="13.28515625" style="2" customWidth="1"/>
    <col min="9475" max="9475" width="17.140625" style="2" customWidth="1"/>
    <col min="9476" max="9476" width="43.28515625" style="2" customWidth="1"/>
    <col min="9477" max="9477" width="15" style="2" customWidth="1"/>
    <col min="9478" max="9478" width="18.28515625" style="2" customWidth="1"/>
    <col min="9479" max="9479" width="15.28515625" style="2" customWidth="1"/>
    <col min="9480" max="9480" width="19.85546875" style="2" customWidth="1"/>
    <col min="9481" max="9481" width="16.5703125" style="2" bestFit="1" customWidth="1"/>
    <col min="9482" max="9482" width="22" style="2" bestFit="1" customWidth="1"/>
    <col min="9483" max="9483" width="13.140625" style="2" bestFit="1" customWidth="1"/>
    <col min="9484" max="9484" width="22" style="2" bestFit="1" customWidth="1"/>
    <col min="9485" max="9485" width="16.42578125" style="2" bestFit="1" customWidth="1"/>
    <col min="9486" max="9486" width="17.85546875" style="2" bestFit="1" customWidth="1"/>
    <col min="9487" max="9728" width="9.140625" style="2"/>
    <col min="9729" max="9729" width="5.5703125" style="2" customWidth="1"/>
    <col min="9730" max="9730" width="13.28515625" style="2" customWidth="1"/>
    <col min="9731" max="9731" width="17.140625" style="2" customWidth="1"/>
    <col min="9732" max="9732" width="43.28515625" style="2" customWidth="1"/>
    <col min="9733" max="9733" width="15" style="2" customWidth="1"/>
    <col min="9734" max="9734" width="18.28515625" style="2" customWidth="1"/>
    <col min="9735" max="9735" width="15.28515625" style="2" customWidth="1"/>
    <col min="9736" max="9736" width="19.85546875" style="2" customWidth="1"/>
    <col min="9737" max="9737" width="16.5703125" style="2" bestFit="1" customWidth="1"/>
    <col min="9738" max="9738" width="22" style="2" bestFit="1" customWidth="1"/>
    <col min="9739" max="9739" width="13.140625" style="2" bestFit="1" customWidth="1"/>
    <col min="9740" max="9740" width="22" style="2" bestFit="1" customWidth="1"/>
    <col min="9741" max="9741" width="16.42578125" style="2" bestFit="1" customWidth="1"/>
    <col min="9742" max="9742" width="17.85546875" style="2" bestFit="1" customWidth="1"/>
    <col min="9743" max="9984" width="9.140625" style="2"/>
    <col min="9985" max="9985" width="5.5703125" style="2" customWidth="1"/>
    <col min="9986" max="9986" width="13.28515625" style="2" customWidth="1"/>
    <col min="9987" max="9987" width="17.140625" style="2" customWidth="1"/>
    <col min="9988" max="9988" width="43.28515625" style="2" customWidth="1"/>
    <col min="9989" max="9989" width="15" style="2" customWidth="1"/>
    <col min="9990" max="9990" width="18.28515625" style="2" customWidth="1"/>
    <col min="9991" max="9991" width="15.28515625" style="2" customWidth="1"/>
    <col min="9992" max="9992" width="19.85546875" style="2" customWidth="1"/>
    <col min="9993" max="9993" width="16.5703125" style="2" bestFit="1" customWidth="1"/>
    <col min="9994" max="9994" width="22" style="2" bestFit="1" customWidth="1"/>
    <col min="9995" max="9995" width="13.140625" style="2" bestFit="1" customWidth="1"/>
    <col min="9996" max="9996" width="22" style="2" bestFit="1" customWidth="1"/>
    <col min="9997" max="9997" width="16.42578125" style="2" bestFit="1" customWidth="1"/>
    <col min="9998" max="9998" width="17.85546875" style="2" bestFit="1" customWidth="1"/>
    <col min="9999" max="10240" width="9.140625" style="2"/>
    <col min="10241" max="10241" width="5.5703125" style="2" customWidth="1"/>
    <col min="10242" max="10242" width="13.28515625" style="2" customWidth="1"/>
    <col min="10243" max="10243" width="17.140625" style="2" customWidth="1"/>
    <col min="10244" max="10244" width="43.28515625" style="2" customWidth="1"/>
    <col min="10245" max="10245" width="15" style="2" customWidth="1"/>
    <col min="10246" max="10246" width="18.28515625" style="2" customWidth="1"/>
    <col min="10247" max="10247" width="15.28515625" style="2" customWidth="1"/>
    <col min="10248" max="10248" width="19.85546875" style="2" customWidth="1"/>
    <col min="10249" max="10249" width="16.5703125" style="2" bestFit="1" customWidth="1"/>
    <col min="10250" max="10250" width="22" style="2" bestFit="1" customWidth="1"/>
    <col min="10251" max="10251" width="13.140625" style="2" bestFit="1" customWidth="1"/>
    <col min="10252" max="10252" width="22" style="2" bestFit="1" customWidth="1"/>
    <col min="10253" max="10253" width="16.42578125" style="2" bestFit="1" customWidth="1"/>
    <col min="10254" max="10254" width="17.85546875" style="2" bestFit="1" customWidth="1"/>
    <col min="10255" max="10496" width="9.140625" style="2"/>
    <col min="10497" max="10497" width="5.5703125" style="2" customWidth="1"/>
    <col min="10498" max="10498" width="13.28515625" style="2" customWidth="1"/>
    <col min="10499" max="10499" width="17.140625" style="2" customWidth="1"/>
    <col min="10500" max="10500" width="43.28515625" style="2" customWidth="1"/>
    <col min="10501" max="10501" width="15" style="2" customWidth="1"/>
    <col min="10502" max="10502" width="18.28515625" style="2" customWidth="1"/>
    <col min="10503" max="10503" width="15.28515625" style="2" customWidth="1"/>
    <col min="10504" max="10504" width="19.85546875" style="2" customWidth="1"/>
    <col min="10505" max="10505" width="16.5703125" style="2" bestFit="1" customWidth="1"/>
    <col min="10506" max="10506" width="22" style="2" bestFit="1" customWidth="1"/>
    <col min="10507" max="10507" width="13.140625" style="2" bestFit="1" customWidth="1"/>
    <col min="10508" max="10508" width="22" style="2" bestFit="1" customWidth="1"/>
    <col min="10509" max="10509" width="16.42578125" style="2" bestFit="1" customWidth="1"/>
    <col min="10510" max="10510" width="17.85546875" style="2" bestFit="1" customWidth="1"/>
    <col min="10511" max="10752" width="9.140625" style="2"/>
    <col min="10753" max="10753" width="5.5703125" style="2" customWidth="1"/>
    <col min="10754" max="10754" width="13.28515625" style="2" customWidth="1"/>
    <col min="10755" max="10755" width="17.140625" style="2" customWidth="1"/>
    <col min="10756" max="10756" width="43.28515625" style="2" customWidth="1"/>
    <col min="10757" max="10757" width="15" style="2" customWidth="1"/>
    <col min="10758" max="10758" width="18.28515625" style="2" customWidth="1"/>
    <col min="10759" max="10759" width="15.28515625" style="2" customWidth="1"/>
    <col min="10760" max="10760" width="19.85546875" style="2" customWidth="1"/>
    <col min="10761" max="10761" width="16.5703125" style="2" bestFit="1" customWidth="1"/>
    <col min="10762" max="10762" width="22" style="2" bestFit="1" customWidth="1"/>
    <col min="10763" max="10763" width="13.140625" style="2" bestFit="1" customWidth="1"/>
    <col min="10764" max="10764" width="22" style="2" bestFit="1" customWidth="1"/>
    <col min="10765" max="10765" width="16.42578125" style="2" bestFit="1" customWidth="1"/>
    <col min="10766" max="10766" width="17.85546875" style="2" bestFit="1" customWidth="1"/>
    <col min="10767" max="11008" width="9.140625" style="2"/>
    <col min="11009" max="11009" width="5.5703125" style="2" customWidth="1"/>
    <col min="11010" max="11010" width="13.28515625" style="2" customWidth="1"/>
    <col min="11011" max="11011" width="17.140625" style="2" customWidth="1"/>
    <col min="11012" max="11012" width="43.28515625" style="2" customWidth="1"/>
    <col min="11013" max="11013" width="15" style="2" customWidth="1"/>
    <col min="11014" max="11014" width="18.28515625" style="2" customWidth="1"/>
    <col min="11015" max="11015" width="15.28515625" style="2" customWidth="1"/>
    <col min="11016" max="11016" width="19.85546875" style="2" customWidth="1"/>
    <col min="11017" max="11017" width="16.5703125" style="2" bestFit="1" customWidth="1"/>
    <col min="11018" max="11018" width="22" style="2" bestFit="1" customWidth="1"/>
    <col min="11019" max="11019" width="13.140625" style="2" bestFit="1" customWidth="1"/>
    <col min="11020" max="11020" width="22" style="2" bestFit="1" customWidth="1"/>
    <col min="11021" max="11021" width="16.42578125" style="2" bestFit="1" customWidth="1"/>
    <col min="11022" max="11022" width="17.85546875" style="2" bestFit="1" customWidth="1"/>
    <col min="11023" max="11264" width="9.140625" style="2"/>
    <col min="11265" max="11265" width="5.5703125" style="2" customWidth="1"/>
    <col min="11266" max="11266" width="13.28515625" style="2" customWidth="1"/>
    <col min="11267" max="11267" width="17.140625" style="2" customWidth="1"/>
    <col min="11268" max="11268" width="43.28515625" style="2" customWidth="1"/>
    <col min="11269" max="11269" width="15" style="2" customWidth="1"/>
    <col min="11270" max="11270" width="18.28515625" style="2" customWidth="1"/>
    <col min="11271" max="11271" width="15.28515625" style="2" customWidth="1"/>
    <col min="11272" max="11272" width="19.85546875" style="2" customWidth="1"/>
    <col min="11273" max="11273" width="16.5703125" style="2" bestFit="1" customWidth="1"/>
    <col min="11274" max="11274" width="22" style="2" bestFit="1" customWidth="1"/>
    <col min="11275" max="11275" width="13.140625" style="2" bestFit="1" customWidth="1"/>
    <col min="11276" max="11276" width="22" style="2" bestFit="1" customWidth="1"/>
    <col min="11277" max="11277" width="16.42578125" style="2" bestFit="1" customWidth="1"/>
    <col min="11278" max="11278" width="17.85546875" style="2" bestFit="1" customWidth="1"/>
    <col min="11279" max="11520" width="9.140625" style="2"/>
    <col min="11521" max="11521" width="5.5703125" style="2" customWidth="1"/>
    <col min="11522" max="11522" width="13.28515625" style="2" customWidth="1"/>
    <col min="11523" max="11523" width="17.140625" style="2" customWidth="1"/>
    <col min="11524" max="11524" width="43.28515625" style="2" customWidth="1"/>
    <col min="11525" max="11525" width="15" style="2" customWidth="1"/>
    <col min="11526" max="11526" width="18.28515625" style="2" customWidth="1"/>
    <col min="11527" max="11527" width="15.28515625" style="2" customWidth="1"/>
    <col min="11528" max="11528" width="19.85546875" style="2" customWidth="1"/>
    <col min="11529" max="11529" width="16.5703125" style="2" bestFit="1" customWidth="1"/>
    <col min="11530" max="11530" width="22" style="2" bestFit="1" customWidth="1"/>
    <col min="11531" max="11531" width="13.140625" style="2" bestFit="1" customWidth="1"/>
    <col min="11532" max="11532" width="22" style="2" bestFit="1" customWidth="1"/>
    <col min="11533" max="11533" width="16.42578125" style="2" bestFit="1" customWidth="1"/>
    <col min="11534" max="11534" width="17.85546875" style="2" bestFit="1" customWidth="1"/>
    <col min="11535" max="11776" width="9.140625" style="2"/>
    <col min="11777" max="11777" width="5.5703125" style="2" customWidth="1"/>
    <col min="11778" max="11778" width="13.28515625" style="2" customWidth="1"/>
    <col min="11779" max="11779" width="17.140625" style="2" customWidth="1"/>
    <col min="11780" max="11780" width="43.28515625" style="2" customWidth="1"/>
    <col min="11781" max="11781" width="15" style="2" customWidth="1"/>
    <col min="11782" max="11782" width="18.28515625" style="2" customWidth="1"/>
    <col min="11783" max="11783" width="15.28515625" style="2" customWidth="1"/>
    <col min="11784" max="11784" width="19.85546875" style="2" customWidth="1"/>
    <col min="11785" max="11785" width="16.5703125" style="2" bestFit="1" customWidth="1"/>
    <col min="11786" max="11786" width="22" style="2" bestFit="1" customWidth="1"/>
    <col min="11787" max="11787" width="13.140625" style="2" bestFit="1" customWidth="1"/>
    <col min="11788" max="11788" width="22" style="2" bestFit="1" customWidth="1"/>
    <col min="11789" max="11789" width="16.42578125" style="2" bestFit="1" customWidth="1"/>
    <col min="11790" max="11790" width="17.85546875" style="2" bestFit="1" customWidth="1"/>
    <col min="11791" max="12032" width="9.140625" style="2"/>
    <col min="12033" max="12033" width="5.5703125" style="2" customWidth="1"/>
    <col min="12034" max="12034" width="13.28515625" style="2" customWidth="1"/>
    <col min="12035" max="12035" width="17.140625" style="2" customWidth="1"/>
    <col min="12036" max="12036" width="43.28515625" style="2" customWidth="1"/>
    <col min="12037" max="12037" width="15" style="2" customWidth="1"/>
    <col min="12038" max="12038" width="18.28515625" style="2" customWidth="1"/>
    <col min="12039" max="12039" width="15.28515625" style="2" customWidth="1"/>
    <col min="12040" max="12040" width="19.85546875" style="2" customWidth="1"/>
    <col min="12041" max="12041" width="16.5703125" style="2" bestFit="1" customWidth="1"/>
    <col min="12042" max="12042" width="22" style="2" bestFit="1" customWidth="1"/>
    <col min="12043" max="12043" width="13.140625" style="2" bestFit="1" customWidth="1"/>
    <col min="12044" max="12044" width="22" style="2" bestFit="1" customWidth="1"/>
    <col min="12045" max="12045" width="16.42578125" style="2" bestFit="1" customWidth="1"/>
    <col min="12046" max="12046" width="17.85546875" style="2" bestFit="1" customWidth="1"/>
    <col min="12047" max="12288" width="9.140625" style="2"/>
    <col min="12289" max="12289" width="5.5703125" style="2" customWidth="1"/>
    <col min="12290" max="12290" width="13.28515625" style="2" customWidth="1"/>
    <col min="12291" max="12291" width="17.140625" style="2" customWidth="1"/>
    <col min="12292" max="12292" width="43.28515625" style="2" customWidth="1"/>
    <col min="12293" max="12293" width="15" style="2" customWidth="1"/>
    <col min="12294" max="12294" width="18.28515625" style="2" customWidth="1"/>
    <col min="12295" max="12295" width="15.28515625" style="2" customWidth="1"/>
    <col min="12296" max="12296" width="19.85546875" style="2" customWidth="1"/>
    <col min="12297" max="12297" width="16.5703125" style="2" bestFit="1" customWidth="1"/>
    <col min="12298" max="12298" width="22" style="2" bestFit="1" customWidth="1"/>
    <col min="12299" max="12299" width="13.140625" style="2" bestFit="1" customWidth="1"/>
    <col min="12300" max="12300" width="22" style="2" bestFit="1" customWidth="1"/>
    <col min="12301" max="12301" width="16.42578125" style="2" bestFit="1" customWidth="1"/>
    <col min="12302" max="12302" width="17.85546875" style="2" bestFit="1" customWidth="1"/>
    <col min="12303" max="12544" width="9.140625" style="2"/>
    <col min="12545" max="12545" width="5.5703125" style="2" customWidth="1"/>
    <col min="12546" max="12546" width="13.28515625" style="2" customWidth="1"/>
    <col min="12547" max="12547" width="17.140625" style="2" customWidth="1"/>
    <col min="12548" max="12548" width="43.28515625" style="2" customWidth="1"/>
    <col min="12549" max="12549" width="15" style="2" customWidth="1"/>
    <col min="12550" max="12550" width="18.28515625" style="2" customWidth="1"/>
    <col min="12551" max="12551" width="15.28515625" style="2" customWidth="1"/>
    <col min="12552" max="12552" width="19.85546875" style="2" customWidth="1"/>
    <col min="12553" max="12553" width="16.5703125" style="2" bestFit="1" customWidth="1"/>
    <col min="12554" max="12554" width="22" style="2" bestFit="1" customWidth="1"/>
    <col min="12555" max="12555" width="13.140625" style="2" bestFit="1" customWidth="1"/>
    <col min="12556" max="12556" width="22" style="2" bestFit="1" customWidth="1"/>
    <col min="12557" max="12557" width="16.42578125" style="2" bestFit="1" customWidth="1"/>
    <col min="12558" max="12558" width="17.85546875" style="2" bestFit="1" customWidth="1"/>
    <col min="12559" max="12800" width="9.140625" style="2"/>
    <col min="12801" max="12801" width="5.5703125" style="2" customWidth="1"/>
    <col min="12802" max="12802" width="13.28515625" style="2" customWidth="1"/>
    <col min="12803" max="12803" width="17.140625" style="2" customWidth="1"/>
    <col min="12804" max="12804" width="43.28515625" style="2" customWidth="1"/>
    <col min="12805" max="12805" width="15" style="2" customWidth="1"/>
    <col min="12806" max="12806" width="18.28515625" style="2" customWidth="1"/>
    <col min="12807" max="12807" width="15.28515625" style="2" customWidth="1"/>
    <col min="12808" max="12808" width="19.85546875" style="2" customWidth="1"/>
    <col min="12809" max="12809" width="16.5703125" style="2" bestFit="1" customWidth="1"/>
    <col min="12810" max="12810" width="22" style="2" bestFit="1" customWidth="1"/>
    <col min="12811" max="12811" width="13.140625" style="2" bestFit="1" customWidth="1"/>
    <col min="12812" max="12812" width="22" style="2" bestFit="1" customWidth="1"/>
    <col min="12813" max="12813" width="16.42578125" style="2" bestFit="1" customWidth="1"/>
    <col min="12814" max="12814" width="17.85546875" style="2" bestFit="1" customWidth="1"/>
    <col min="12815" max="13056" width="9.140625" style="2"/>
    <col min="13057" max="13057" width="5.5703125" style="2" customWidth="1"/>
    <col min="13058" max="13058" width="13.28515625" style="2" customWidth="1"/>
    <col min="13059" max="13059" width="17.140625" style="2" customWidth="1"/>
    <col min="13060" max="13060" width="43.28515625" style="2" customWidth="1"/>
    <col min="13061" max="13061" width="15" style="2" customWidth="1"/>
    <col min="13062" max="13062" width="18.28515625" style="2" customWidth="1"/>
    <col min="13063" max="13063" width="15.28515625" style="2" customWidth="1"/>
    <col min="13064" max="13064" width="19.85546875" style="2" customWidth="1"/>
    <col min="13065" max="13065" width="16.5703125" style="2" bestFit="1" customWidth="1"/>
    <col min="13066" max="13066" width="22" style="2" bestFit="1" customWidth="1"/>
    <col min="13067" max="13067" width="13.140625" style="2" bestFit="1" customWidth="1"/>
    <col min="13068" max="13068" width="22" style="2" bestFit="1" customWidth="1"/>
    <col min="13069" max="13069" width="16.42578125" style="2" bestFit="1" customWidth="1"/>
    <col min="13070" max="13070" width="17.85546875" style="2" bestFit="1" customWidth="1"/>
    <col min="13071" max="13312" width="9.140625" style="2"/>
    <col min="13313" max="13313" width="5.5703125" style="2" customWidth="1"/>
    <col min="13314" max="13314" width="13.28515625" style="2" customWidth="1"/>
    <col min="13315" max="13315" width="17.140625" style="2" customWidth="1"/>
    <col min="13316" max="13316" width="43.28515625" style="2" customWidth="1"/>
    <col min="13317" max="13317" width="15" style="2" customWidth="1"/>
    <col min="13318" max="13318" width="18.28515625" style="2" customWidth="1"/>
    <col min="13319" max="13319" width="15.28515625" style="2" customWidth="1"/>
    <col min="13320" max="13320" width="19.85546875" style="2" customWidth="1"/>
    <col min="13321" max="13321" width="16.5703125" style="2" bestFit="1" customWidth="1"/>
    <col min="13322" max="13322" width="22" style="2" bestFit="1" customWidth="1"/>
    <col min="13323" max="13323" width="13.140625" style="2" bestFit="1" customWidth="1"/>
    <col min="13324" max="13324" width="22" style="2" bestFit="1" customWidth="1"/>
    <col min="13325" max="13325" width="16.42578125" style="2" bestFit="1" customWidth="1"/>
    <col min="13326" max="13326" width="17.85546875" style="2" bestFit="1" customWidth="1"/>
    <col min="13327" max="13568" width="9.140625" style="2"/>
    <col min="13569" max="13569" width="5.5703125" style="2" customWidth="1"/>
    <col min="13570" max="13570" width="13.28515625" style="2" customWidth="1"/>
    <col min="13571" max="13571" width="17.140625" style="2" customWidth="1"/>
    <col min="13572" max="13572" width="43.28515625" style="2" customWidth="1"/>
    <col min="13573" max="13573" width="15" style="2" customWidth="1"/>
    <col min="13574" max="13574" width="18.28515625" style="2" customWidth="1"/>
    <col min="13575" max="13575" width="15.28515625" style="2" customWidth="1"/>
    <col min="13576" max="13576" width="19.85546875" style="2" customWidth="1"/>
    <col min="13577" max="13577" width="16.5703125" style="2" bestFit="1" customWidth="1"/>
    <col min="13578" max="13578" width="22" style="2" bestFit="1" customWidth="1"/>
    <col min="13579" max="13579" width="13.140625" style="2" bestFit="1" customWidth="1"/>
    <col min="13580" max="13580" width="22" style="2" bestFit="1" customWidth="1"/>
    <col min="13581" max="13581" width="16.42578125" style="2" bestFit="1" customWidth="1"/>
    <col min="13582" max="13582" width="17.85546875" style="2" bestFit="1" customWidth="1"/>
    <col min="13583" max="13824" width="9.140625" style="2"/>
    <col min="13825" max="13825" width="5.5703125" style="2" customWidth="1"/>
    <col min="13826" max="13826" width="13.28515625" style="2" customWidth="1"/>
    <col min="13827" max="13827" width="17.140625" style="2" customWidth="1"/>
    <col min="13828" max="13828" width="43.28515625" style="2" customWidth="1"/>
    <col min="13829" max="13829" width="15" style="2" customWidth="1"/>
    <col min="13830" max="13830" width="18.28515625" style="2" customWidth="1"/>
    <col min="13831" max="13831" width="15.28515625" style="2" customWidth="1"/>
    <col min="13832" max="13832" width="19.85546875" style="2" customWidth="1"/>
    <col min="13833" max="13833" width="16.5703125" style="2" bestFit="1" customWidth="1"/>
    <col min="13834" max="13834" width="22" style="2" bestFit="1" customWidth="1"/>
    <col min="13835" max="13835" width="13.140625" style="2" bestFit="1" customWidth="1"/>
    <col min="13836" max="13836" width="22" style="2" bestFit="1" customWidth="1"/>
    <col min="13837" max="13837" width="16.42578125" style="2" bestFit="1" customWidth="1"/>
    <col min="13838" max="13838" width="17.85546875" style="2" bestFit="1" customWidth="1"/>
    <col min="13839" max="14080" width="9.140625" style="2"/>
    <col min="14081" max="14081" width="5.5703125" style="2" customWidth="1"/>
    <col min="14082" max="14082" width="13.28515625" style="2" customWidth="1"/>
    <col min="14083" max="14083" width="17.140625" style="2" customWidth="1"/>
    <col min="14084" max="14084" width="43.28515625" style="2" customWidth="1"/>
    <col min="14085" max="14085" width="15" style="2" customWidth="1"/>
    <col min="14086" max="14086" width="18.28515625" style="2" customWidth="1"/>
    <col min="14087" max="14087" width="15.28515625" style="2" customWidth="1"/>
    <col min="14088" max="14088" width="19.85546875" style="2" customWidth="1"/>
    <col min="14089" max="14089" width="16.5703125" style="2" bestFit="1" customWidth="1"/>
    <col min="14090" max="14090" width="22" style="2" bestFit="1" customWidth="1"/>
    <col min="14091" max="14091" width="13.140625" style="2" bestFit="1" customWidth="1"/>
    <col min="14092" max="14092" width="22" style="2" bestFit="1" customWidth="1"/>
    <col min="14093" max="14093" width="16.42578125" style="2" bestFit="1" customWidth="1"/>
    <col min="14094" max="14094" width="17.85546875" style="2" bestFit="1" customWidth="1"/>
    <col min="14095" max="14336" width="9.140625" style="2"/>
    <col min="14337" max="14337" width="5.5703125" style="2" customWidth="1"/>
    <col min="14338" max="14338" width="13.28515625" style="2" customWidth="1"/>
    <col min="14339" max="14339" width="17.140625" style="2" customWidth="1"/>
    <col min="14340" max="14340" width="43.28515625" style="2" customWidth="1"/>
    <col min="14341" max="14341" width="15" style="2" customWidth="1"/>
    <col min="14342" max="14342" width="18.28515625" style="2" customWidth="1"/>
    <col min="14343" max="14343" width="15.28515625" style="2" customWidth="1"/>
    <col min="14344" max="14344" width="19.85546875" style="2" customWidth="1"/>
    <col min="14345" max="14345" width="16.5703125" style="2" bestFit="1" customWidth="1"/>
    <col min="14346" max="14346" width="22" style="2" bestFit="1" customWidth="1"/>
    <col min="14347" max="14347" width="13.140625" style="2" bestFit="1" customWidth="1"/>
    <col min="14348" max="14348" width="22" style="2" bestFit="1" customWidth="1"/>
    <col min="14349" max="14349" width="16.42578125" style="2" bestFit="1" customWidth="1"/>
    <col min="14350" max="14350" width="17.85546875" style="2" bestFit="1" customWidth="1"/>
    <col min="14351" max="14592" width="9.140625" style="2"/>
    <col min="14593" max="14593" width="5.5703125" style="2" customWidth="1"/>
    <col min="14594" max="14594" width="13.28515625" style="2" customWidth="1"/>
    <col min="14595" max="14595" width="17.140625" style="2" customWidth="1"/>
    <col min="14596" max="14596" width="43.28515625" style="2" customWidth="1"/>
    <col min="14597" max="14597" width="15" style="2" customWidth="1"/>
    <col min="14598" max="14598" width="18.28515625" style="2" customWidth="1"/>
    <col min="14599" max="14599" width="15.28515625" style="2" customWidth="1"/>
    <col min="14600" max="14600" width="19.85546875" style="2" customWidth="1"/>
    <col min="14601" max="14601" width="16.5703125" style="2" bestFit="1" customWidth="1"/>
    <col min="14602" max="14602" width="22" style="2" bestFit="1" customWidth="1"/>
    <col min="14603" max="14603" width="13.140625" style="2" bestFit="1" customWidth="1"/>
    <col min="14604" max="14604" width="22" style="2" bestFit="1" customWidth="1"/>
    <col min="14605" max="14605" width="16.42578125" style="2" bestFit="1" customWidth="1"/>
    <col min="14606" max="14606" width="17.85546875" style="2" bestFit="1" customWidth="1"/>
    <col min="14607" max="14848" width="9.140625" style="2"/>
    <col min="14849" max="14849" width="5.5703125" style="2" customWidth="1"/>
    <col min="14850" max="14850" width="13.28515625" style="2" customWidth="1"/>
    <col min="14851" max="14851" width="17.140625" style="2" customWidth="1"/>
    <col min="14852" max="14852" width="43.28515625" style="2" customWidth="1"/>
    <col min="14853" max="14853" width="15" style="2" customWidth="1"/>
    <col min="14854" max="14854" width="18.28515625" style="2" customWidth="1"/>
    <col min="14855" max="14855" width="15.28515625" style="2" customWidth="1"/>
    <col min="14856" max="14856" width="19.85546875" style="2" customWidth="1"/>
    <col min="14857" max="14857" width="16.5703125" style="2" bestFit="1" customWidth="1"/>
    <col min="14858" max="14858" width="22" style="2" bestFit="1" customWidth="1"/>
    <col min="14859" max="14859" width="13.140625" style="2" bestFit="1" customWidth="1"/>
    <col min="14860" max="14860" width="22" style="2" bestFit="1" customWidth="1"/>
    <col min="14861" max="14861" width="16.42578125" style="2" bestFit="1" customWidth="1"/>
    <col min="14862" max="14862" width="17.85546875" style="2" bestFit="1" customWidth="1"/>
    <col min="14863" max="15104" width="9.140625" style="2"/>
    <col min="15105" max="15105" width="5.5703125" style="2" customWidth="1"/>
    <col min="15106" max="15106" width="13.28515625" style="2" customWidth="1"/>
    <col min="15107" max="15107" width="17.140625" style="2" customWidth="1"/>
    <col min="15108" max="15108" width="43.28515625" style="2" customWidth="1"/>
    <col min="15109" max="15109" width="15" style="2" customWidth="1"/>
    <col min="15110" max="15110" width="18.28515625" style="2" customWidth="1"/>
    <col min="15111" max="15111" width="15.28515625" style="2" customWidth="1"/>
    <col min="15112" max="15112" width="19.85546875" style="2" customWidth="1"/>
    <col min="15113" max="15113" width="16.5703125" style="2" bestFit="1" customWidth="1"/>
    <col min="15114" max="15114" width="22" style="2" bestFit="1" customWidth="1"/>
    <col min="15115" max="15115" width="13.140625" style="2" bestFit="1" customWidth="1"/>
    <col min="15116" max="15116" width="22" style="2" bestFit="1" customWidth="1"/>
    <col min="15117" max="15117" width="16.42578125" style="2" bestFit="1" customWidth="1"/>
    <col min="15118" max="15118" width="17.85546875" style="2" bestFit="1" customWidth="1"/>
    <col min="15119" max="15360" width="9.140625" style="2"/>
    <col min="15361" max="15361" width="5.5703125" style="2" customWidth="1"/>
    <col min="15362" max="15362" width="13.28515625" style="2" customWidth="1"/>
    <col min="15363" max="15363" width="17.140625" style="2" customWidth="1"/>
    <col min="15364" max="15364" width="43.28515625" style="2" customWidth="1"/>
    <col min="15365" max="15365" width="15" style="2" customWidth="1"/>
    <col min="15366" max="15366" width="18.28515625" style="2" customWidth="1"/>
    <col min="15367" max="15367" width="15.28515625" style="2" customWidth="1"/>
    <col min="15368" max="15368" width="19.85546875" style="2" customWidth="1"/>
    <col min="15369" max="15369" width="16.5703125" style="2" bestFit="1" customWidth="1"/>
    <col min="15370" max="15370" width="22" style="2" bestFit="1" customWidth="1"/>
    <col min="15371" max="15371" width="13.140625" style="2" bestFit="1" customWidth="1"/>
    <col min="15372" max="15372" width="22" style="2" bestFit="1" customWidth="1"/>
    <col min="15373" max="15373" width="16.42578125" style="2" bestFit="1" customWidth="1"/>
    <col min="15374" max="15374" width="17.85546875" style="2" bestFit="1" customWidth="1"/>
    <col min="15375" max="15616" width="9.140625" style="2"/>
    <col min="15617" max="15617" width="5.5703125" style="2" customWidth="1"/>
    <col min="15618" max="15618" width="13.28515625" style="2" customWidth="1"/>
    <col min="15619" max="15619" width="17.140625" style="2" customWidth="1"/>
    <col min="15620" max="15620" width="43.28515625" style="2" customWidth="1"/>
    <col min="15621" max="15621" width="15" style="2" customWidth="1"/>
    <col min="15622" max="15622" width="18.28515625" style="2" customWidth="1"/>
    <col min="15623" max="15623" width="15.28515625" style="2" customWidth="1"/>
    <col min="15624" max="15624" width="19.85546875" style="2" customWidth="1"/>
    <col min="15625" max="15625" width="16.5703125" style="2" bestFit="1" customWidth="1"/>
    <col min="15626" max="15626" width="22" style="2" bestFit="1" customWidth="1"/>
    <col min="15627" max="15627" width="13.140625" style="2" bestFit="1" customWidth="1"/>
    <col min="15628" max="15628" width="22" style="2" bestFit="1" customWidth="1"/>
    <col min="15629" max="15629" width="16.42578125" style="2" bestFit="1" customWidth="1"/>
    <col min="15630" max="15630" width="17.85546875" style="2" bestFit="1" customWidth="1"/>
    <col min="15631" max="15872" width="9.140625" style="2"/>
    <col min="15873" max="15873" width="5.5703125" style="2" customWidth="1"/>
    <col min="15874" max="15874" width="13.28515625" style="2" customWidth="1"/>
    <col min="15875" max="15875" width="17.140625" style="2" customWidth="1"/>
    <col min="15876" max="15876" width="43.28515625" style="2" customWidth="1"/>
    <col min="15877" max="15877" width="15" style="2" customWidth="1"/>
    <col min="15878" max="15878" width="18.28515625" style="2" customWidth="1"/>
    <col min="15879" max="15879" width="15.28515625" style="2" customWidth="1"/>
    <col min="15880" max="15880" width="19.85546875" style="2" customWidth="1"/>
    <col min="15881" max="15881" width="16.5703125" style="2" bestFit="1" customWidth="1"/>
    <col min="15882" max="15882" width="22" style="2" bestFit="1" customWidth="1"/>
    <col min="15883" max="15883" width="13.140625" style="2" bestFit="1" customWidth="1"/>
    <col min="15884" max="15884" width="22" style="2" bestFit="1" customWidth="1"/>
    <col min="15885" max="15885" width="16.42578125" style="2" bestFit="1" customWidth="1"/>
    <col min="15886" max="15886" width="17.85546875" style="2" bestFit="1" customWidth="1"/>
    <col min="15887" max="16128" width="9.140625" style="2"/>
    <col min="16129" max="16129" width="5.5703125" style="2" customWidth="1"/>
    <col min="16130" max="16130" width="13.28515625" style="2" customWidth="1"/>
    <col min="16131" max="16131" width="17.140625" style="2" customWidth="1"/>
    <col min="16132" max="16132" width="43.28515625" style="2" customWidth="1"/>
    <col min="16133" max="16133" width="15" style="2" customWidth="1"/>
    <col min="16134" max="16134" width="18.28515625" style="2" customWidth="1"/>
    <col min="16135" max="16135" width="15.28515625" style="2" customWidth="1"/>
    <col min="16136" max="16136" width="19.85546875" style="2" customWidth="1"/>
    <col min="16137" max="16137" width="16.5703125" style="2" bestFit="1" customWidth="1"/>
    <col min="16138" max="16138" width="22" style="2" bestFit="1" customWidth="1"/>
    <col min="16139" max="16139" width="13.140625" style="2" bestFit="1" customWidth="1"/>
    <col min="16140" max="16140" width="22" style="2" bestFit="1" customWidth="1"/>
    <col min="16141" max="16141" width="16.42578125" style="2" bestFit="1" customWidth="1"/>
    <col min="16142" max="16142" width="17.85546875" style="2" bestFit="1" customWidth="1"/>
    <col min="16143" max="16384" width="9.140625" style="2"/>
  </cols>
  <sheetData>
    <row r="1" spans="1:12" s="1" customFormat="1" ht="18.75">
      <c r="A1" s="127" t="s">
        <v>43</v>
      </c>
      <c r="B1" s="127"/>
      <c r="C1" s="127"/>
      <c r="D1" s="127"/>
      <c r="E1" s="127"/>
      <c r="F1" s="127"/>
      <c r="G1" s="127"/>
      <c r="H1" s="127"/>
    </row>
    <row r="2" spans="1:12" ht="16.5" thickBot="1"/>
    <row r="3" spans="1:12" s="8" customFormat="1" ht="84" customHeight="1" thickBot="1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J3" s="128" t="s">
        <v>9</v>
      </c>
      <c r="K3" s="129"/>
      <c r="L3" s="129"/>
    </row>
    <row r="4" spans="1:12" ht="15.75" customHeight="1">
      <c r="A4" s="130">
        <v>1</v>
      </c>
      <c r="B4" s="133" t="s">
        <v>38</v>
      </c>
      <c r="C4" s="136" t="s">
        <v>11</v>
      </c>
      <c r="D4" s="9" t="s">
        <v>12</v>
      </c>
      <c r="E4" s="10" t="s">
        <v>13</v>
      </c>
      <c r="F4" s="11">
        <v>44.622999999999998</v>
      </c>
      <c r="G4" s="12">
        <v>56363.61</v>
      </c>
      <c r="H4" s="13">
        <f>F4*G4</f>
        <v>2515113.3690299997</v>
      </c>
    </row>
    <row r="5" spans="1:12" ht="15.75" customHeight="1">
      <c r="A5" s="131"/>
      <c r="B5" s="134"/>
      <c r="C5" s="137"/>
      <c r="D5" s="14" t="s">
        <v>14</v>
      </c>
      <c r="E5" s="15" t="s">
        <v>15</v>
      </c>
      <c r="F5" s="16">
        <v>2E-3</v>
      </c>
      <c r="G5" s="17">
        <v>88.45</v>
      </c>
      <c r="H5" s="18">
        <f>F5*G5</f>
        <v>0.1769</v>
      </c>
    </row>
    <row r="6" spans="1:12" ht="20.25" customHeight="1">
      <c r="A6" s="131"/>
      <c r="B6" s="134"/>
      <c r="C6" s="137"/>
      <c r="D6" s="19" t="s">
        <v>16</v>
      </c>
      <c r="E6" s="20" t="s">
        <v>15</v>
      </c>
      <c r="F6" s="16">
        <f>4958.673+258.907</f>
        <v>5217.58</v>
      </c>
      <c r="G6" s="17">
        <v>88.45</v>
      </c>
      <c r="H6" s="18">
        <f>F6*G6</f>
        <v>461494.951</v>
      </c>
      <c r="J6" s="21"/>
    </row>
    <row r="7" spans="1:12" ht="16.5" customHeight="1">
      <c r="A7" s="131"/>
      <c r="B7" s="134"/>
      <c r="C7" s="137"/>
      <c r="D7" s="19" t="s">
        <v>17</v>
      </c>
      <c r="E7" s="20" t="s">
        <v>15</v>
      </c>
      <c r="F7" s="16">
        <f>1516.594+2.431+0.001</f>
        <v>1519.0260000000001</v>
      </c>
      <c r="G7" s="17">
        <v>88.45</v>
      </c>
      <c r="H7" s="18">
        <f>F7*G7</f>
        <v>134357.84970000002</v>
      </c>
      <c r="J7" s="21"/>
    </row>
    <row r="8" spans="1:12">
      <c r="A8" s="131"/>
      <c r="B8" s="134"/>
      <c r="C8" s="137"/>
      <c r="D8" s="19" t="s">
        <v>18</v>
      </c>
      <c r="E8" s="20" t="s">
        <v>15</v>
      </c>
      <c r="F8" s="16">
        <v>918.45799999999997</v>
      </c>
      <c r="G8" s="17">
        <v>88.45</v>
      </c>
      <c r="H8" s="18">
        <f>F8*G8</f>
        <v>81237.610100000005</v>
      </c>
    </row>
    <row r="9" spans="1:12">
      <c r="A9" s="131"/>
      <c r="B9" s="134"/>
      <c r="C9" s="137"/>
      <c r="D9" s="22" t="s">
        <v>19</v>
      </c>
      <c r="E9" s="23"/>
      <c r="F9" s="24">
        <f>F4</f>
        <v>44.622999999999998</v>
      </c>
      <c r="G9" s="25"/>
      <c r="H9" s="26">
        <f>H4</f>
        <v>2515113.3690299997</v>
      </c>
      <c r="J9" s="27"/>
    </row>
    <row r="10" spans="1:12" ht="16.5" thickBot="1">
      <c r="A10" s="132"/>
      <c r="B10" s="135"/>
      <c r="C10" s="138"/>
      <c r="D10" s="28" t="s">
        <v>20</v>
      </c>
      <c r="E10" s="29"/>
      <c r="F10" s="30">
        <f>F6+F7+F8+F5</f>
        <v>7655.0659999999998</v>
      </c>
      <c r="G10" s="31"/>
      <c r="H10" s="32">
        <f>H6+H7+H8+H5</f>
        <v>677090.58770000003</v>
      </c>
      <c r="J10" s="21"/>
    </row>
    <row r="11" spans="1:12" ht="16.5" customHeight="1">
      <c r="A11" s="116">
        <v>2</v>
      </c>
      <c r="B11" s="125" t="s">
        <v>39</v>
      </c>
      <c r="C11" s="122" t="s">
        <v>11</v>
      </c>
      <c r="D11" s="33" t="s">
        <v>12</v>
      </c>
      <c r="E11" s="34" t="s">
        <v>13</v>
      </c>
      <c r="F11" s="11">
        <v>44.622999999999998</v>
      </c>
      <c r="G11" s="12">
        <v>56363.61</v>
      </c>
      <c r="H11" s="13">
        <f>F11*G11</f>
        <v>2515113.3690299997</v>
      </c>
      <c r="K11" s="27"/>
    </row>
    <row r="12" spans="1:12" ht="16.5" customHeight="1">
      <c r="A12" s="116"/>
      <c r="B12" s="125"/>
      <c r="C12" s="122"/>
      <c r="D12" s="14" t="s">
        <v>14</v>
      </c>
      <c r="E12" s="15" t="s">
        <v>15</v>
      </c>
      <c r="F12" s="16">
        <v>0.108</v>
      </c>
      <c r="G12" s="17">
        <v>88.45</v>
      </c>
      <c r="H12" s="18">
        <f>F12*G12</f>
        <v>9.5526</v>
      </c>
      <c r="K12" s="27"/>
    </row>
    <row r="13" spans="1:12" ht="21.75" customHeight="1">
      <c r="A13" s="116"/>
      <c r="B13" s="125"/>
      <c r="C13" s="122"/>
      <c r="D13" s="14" t="s">
        <v>16</v>
      </c>
      <c r="E13" s="15" t="s">
        <v>15</v>
      </c>
      <c r="F13" s="16">
        <f>4445.322+90.744</f>
        <v>4536.0659999999998</v>
      </c>
      <c r="G13" s="17">
        <v>88.45</v>
      </c>
      <c r="H13" s="18">
        <f>F13*G13</f>
        <v>401215.03769999999</v>
      </c>
    </row>
    <row r="14" spans="1:12" ht="21.75" customHeight="1">
      <c r="A14" s="116"/>
      <c r="B14" s="125"/>
      <c r="C14" s="122"/>
      <c r="D14" s="14" t="s">
        <v>17</v>
      </c>
      <c r="E14" s="15" t="s">
        <v>15</v>
      </c>
      <c r="F14" s="16">
        <f>1423.551+2.187+8.926</f>
        <v>1434.6639999999998</v>
      </c>
      <c r="G14" s="17">
        <v>88.45</v>
      </c>
      <c r="H14" s="18">
        <f>F14*G14</f>
        <v>126896.03079999998</v>
      </c>
    </row>
    <row r="15" spans="1:12">
      <c r="A15" s="116"/>
      <c r="B15" s="125"/>
      <c r="C15" s="122"/>
      <c r="D15" s="14" t="s">
        <v>18</v>
      </c>
      <c r="E15" s="15" t="s">
        <v>15</v>
      </c>
      <c r="F15" s="16">
        <v>868.73199999999997</v>
      </c>
      <c r="G15" s="17">
        <v>88.45</v>
      </c>
      <c r="H15" s="18">
        <f>F15*G15</f>
        <v>76839.345400000006</v>
      </c>
    </row>
    <row r="16" spans="1:12">
      <c r="A16" s="116"/>
      <c r="B16" s="125"/>
      <c r="C16" s="122"/>
      <c r="D16" s="35" t="s">
        <v>19</v>
      </c>
      <c r="E16" s="36"/>
      <c r="F16" s="24">
        <f>F11</f>
        <v>44.622999999999998</v>
      </c>
      <c r="G16" s="25"/>
      <c r="H16" s="26">
        <f>H11</f>
        <v>2515113.3690299997</v>
      </c>
    </row>
    <row r="17" spans="1:10" ht="16.5" thickBot="1">
      <c r="A17" s="116"/>
      <c r="B17" s="126"/>
      <c r="C17" s="123"/>
      <c r="D17" s="37" t="s">
        <v>20</v>
      </c>
      <c r="E17" s="38"/>
      <c r="F17" s="60">
        <f>F13+F14+F15+F12</f>
        <v>6839.57</v>
      </c>
      <c r="G17" s="61"/>
      <c r="H17" s="62">
        <f>H13+H14+H15+H12</f>
        <v>604959.96649999998</v>
      </c>
      <c r="J17" s="21"/>
    </row>
    <row r="18" spans="1:10">
      <c r="A18" s="115">
        <v>3</v>
      </c>
      <c r="B18" s="124" t="s">
        <v>40</v>
      </c>
      <c r="C18" s="121" t="s">
        <v>11</v>
      </c>
      <c r="D18" s="39" t="s">
        <v>12</v>
      </c>
      <c r="E18" s="40" t="s">
        <v>13</v>
      </c>
      <c r="F18" s="11">
        <v>44.622999999999998</v>
      </c>
      <c r="G18" s="12">
        <v>56363.61</v>
      </c>
      <c r="H18" s="13">
        <f>F18*G18</f>
        <v>2515113.3690299997</v>
      </c>
    </row>
    <row r="19" spans="1:10">
      <c r="A19" s="116"/>
      <c r="B19" s="125"/>
      <c r="C19" s="122"/>
      <c r="D19" s="14" t="s">
        <v>14</v>
      </c>
      <c r="E19" s="15" t="s">
        <v>15</v>
      </c>
      <c r="F19" s="16">
        <v>135.84</v>
      </c>
      <c r="G19" s="17">
        <v>88.45</v>
      </c>
      <c r="H19" s="18">
        <f>F19*G19</f>
        <v>12015.048000000001</v>
      </c>
    </row>
    <row r="20" spans="1:10" ht="25.5">
      <c r="A20" s="116"/>
      <c r="B20" s="125"/>
      <c r="C20" s="122"/>
      <c r="D20" s="14" t="s">
        <v>16</v>
      </c>
      <c r="E20" s="15" t="s">
        <v>15</v>
      </c>
      <c r="F20" s="16">
        <f>3974.018+155.588</f>
        <v>4129.6059999999998</v>
      </c>
      <c r="G20" s="17">
        <v>88.45</v>
      </c>
      <c r="H20" s="18">
        <f>F20*G20</f>
        <v>365263.6507</v>
      </c>
      <c r="J20" s="27"/>
    </row>
    <row r="21" spans="1:10" ht="25.5">
      <c r="A21" s="116"/>
      <c r="B21" s="125"/>
      <c r="C21" s="122"/>
      <c r="D21" s="14" t="s">
        <v>17</v>
      </c>
      <c r="E21" s="15" t="s">
        <v>15</v>
      </c>
      <c r="F21" s="16">
        <f>1564.274+3.096+30.611</f>
        <v>1597.981</v>
      </c>
      <c r="G21" s="17">
        <v>88.45</v>
      </c>
      <c r="H21" s="18">
        <f>F21*G21</f>
        <v>141341.41945000002</v>
      </c>
    </row>
    <row r="22" spans="1:10">
      <c r="A22" s="116"/>
      <c r="B22" s="125"/>
      <c r="C22" s="122"/>
      <c r="D22" s="14" t="s">
        <v>18</v>
      </c>
      <c r="E22" s="15" t="s">
        <v>15</v>
      </c>
      <c r="F22" s="16">
        <v>835.39</v>
      </c>
      <c r="G22" s="17">
        <v>88.45</v>
      </c>
      <c r="H22" s="18">
        <f>F22*G22</f>
        <v>73890.245500000005</v>
      </c>
      <c r="J22" s="27"/>
    </row>
    <row r="23" spans="1:10">
      <c r="A23" s="116"/>
      <c r="B23" s="125"/>
      <c r="C23" s="122"/>
      <c r="D23" s="35" t="s">
        <v>19</v>
      </c>
      <c r="E23" s="36"/>
      <c r="F23" s="24">
        <f>F18</f>
        <v>44.622999999999998</v>
      </c>
      <c r="G23" s="25"/>
      <c r="H23" s="26">
        <f>H18</f>
        <v>2515113.3690299997</v>
      </c>
    </row>
    <row r="24" spans="1:10" ht="16.5" thickBot="1">
      <c r="A24" s="117"/>
      <c r="B24" s="126"/>
      <c r="C24" s="123"/>
      <c r="D24" s="37" t="s">
        <v>20</v>
      </c>
      <c r="E24" s="38"/>
      <c r="F24" s="60">
        <f>F20+F21+F22+F19</f>
        <v>6698.817</v>
      </c>
      <c r="G24" s="61"/>
      <c r="H24" s="62">
        <f>H20+H21+H22+H19</f>
        <v>592510.36364999996</v>
      </c>
      <c r="J24" s="21"/>
    </row>
    <row r="25" spans="1:10">
      <c r="A25" s="115">
        <v>4</v>
      </c>
      <c r="B25" s="124" t="s">
        <v>41</v>
      </c>
      <c r="C25" s="121" t="s">
        <v>11</v>
      </c>
      <c r="D25" s="39" t="s">
        <v>12</v>
      </c>
      <c r="E25" s="40" t="s">
        <v>13</v>
      </c>
      <c r="F25" s="11">
        <v>44.622999999999998</v>
      </c>
      <c r="G25" s="12">
        <v>56363.61</v>
      </c>
      <c r="H25" s="13">
        <f>F25*G25</f>
        <v>2515113.3690299997</v>
      </c>
    </row>
    <row r="26" spans="1:10">
      <c r="A26" s="116"/>
      <c r="B26" s="125"/>
      <c r="C26" s="122"/>
      <c r="D26" s="14" t="s">
        <v>14</v>
      </c>
      <c r="E26" s="15" t="s">
        <v>15</v>
      </c>
      <c r="F26" s="16">
        <v>1.9E-2</v>
      </c>
      <c r="G26" s="17">
        <v>88.45</v>
      </c>
      <c r="H26" s="18">
        <f>F26*G26</f>
        <v>1.68055</v>
      </c>
    </row>
    <row r="27" spans="1:10" ht="23.25" customHeight="1">
      <c r="A27" s="116"/>
      <c r="B27" s="125"/>
      <c r="C27" s="122"/>
      <c r="D27" s="14" t="s">
        <v>16</v>
      </c>
      <c r="E27" s="15" t="s">
        <v>15</v>
      </c>
      <c r="F27" s="16">
        <f>3240.893+172.552</f>
        <v>3413.4450000000002</v>
      </c>
      <c r="G27" s="17">
        <v>88.45</v>
      </c>
      <c r="H27" s="18">
        <f>F27*G27</f>
        <v>301919.21025</v>
      </c>
    </row>
    <row r="28" spans="1:10" ht="25.5">
      <c r="A28" s="116"/>
      <c r="B28" s="125"/>
      <c r="C28" s="122"/>
      <c r="D28" s="14" t="s">
        <v>17</v>
      </c>
      <c r="E28" s="15" t="s">
        <v>15</v>
      </c>
      <c r="F28" s="16">
        <f>1342.489+7.015</f>
        <v>1349.5040000000001</v>
      </c>
      <c r="G28" s="17">
        <v>88.45</v>
      </c>
      <c r="H28" s="18">
        <f>F28*G28</f>
        <v>119363.62880000002</v>
      </c>
    </row>
    <row r="29" spans="1:10">
      <c r="A29" s="116"/>
      <c r="B29" s="125"/>
      <c r="C29" s="122"/>
      <c r="D29" s="14" t="s">
        <v>18</v>
      </c>
      <c r="E29" s="15" t="s">
        <v>15</v>
      </c>
      <c r="F29" s="16">
        <v>790.96199999999999</v>
      </c>
      <c r="G29" s="17">
        <v>88.45</v>
      </c>
      <c r="H29" s="18">
        <f>F29*G29</f>
        <v>69960.588900000002</v>
      </c>
    </row>
    <row r="30" spans="1:10">
      <c r="A30" s="116"/>
      <c r="B30" s="125"/>
      <c r="C30" s="122"/>
      <c r="D30" s="35" t="s">
        <v>19</v>
      </c>
      <c r="E30" s="36"/>
      <c r="F30" s="24">
        <f>F25</f>
        <v>44.622999999999998</v>
      </c>
      <c r="G30" s="25"/>
      <c r="H30" s="26">
        <f>H25</f>
        <v>2515113.3690299997</v>
      </c>
    </row>
    <row r="31" spans="1:10" ht="16.5" thickBot="1">
      <c r="A31" s="117"/>
      <c r="B31" s="126"/>
      <c r="C31" s="123"/>
      <c r="D31" s="37" t="s">
        <v>20</v>
      </c>
      <c r="E31" s="38"/>
      <c r="F31" s="60">
        <f>F27+F28+F29+F26</f>
        <v>5553.93</v>
      </c>
      <c r="G31" s="61"/>
      <c r="H31" s="62">
        <f>H27+H28+H29+H26</f>
        <v>491245.10850000003</v>
      </c>
      <c r="J31" s="21"/>
    </row>
    <row r="32" spans="1:10" s="41" customFormat="1">
      <c r="A32" s="115">
        <v>5</v>
      </c>
      <c r="B32" s="124" t="s">
        <v>42</v>
      </c>
      <c r="C32" s="121" t="s">
        <v>11</v>
      </c>
      <c r="D32" s="39" t="s">
        <v>12</v>
      </c>
      <c r="E32" s="40" t="s">
        <v>13</v>
      </c>
      <c r="F32" s="11">
        <v>44.622999999999998</v>
      </c>
      <c r="G32" s="12">
        <v>56363.61</v>
      </c>
      <c r="H32" s="13">
        <f>F32*G32</f>
        <v>2515113.3690299997</v>
      </c>
    </row>
    <row r="33" spans="1:10" s="41" customFormat="1">
      <c r="A33" s="116"/>
      <c r="B33" s="125"/>
      <c r="C33" s="122"/>
      <c r="D33" s="14" t="s">
        <v>14</v>
      </c>
      <c r="E33" s="15" t="s">
        <v>15</v>
      </c>
      <c r="F33" s="16">
        <v>2.8000000000000001E-2</v>
      </c>
      <c r="G33" s="17">
        <v>88.45</v>
      </c>
      <c r="H33" s="18">
        <f>F33*G33</f>
        <v>2.4765999999999999</v>
      </c>
    </row>
    <row r="34" spans="1:10" s="41" customFormat="1" ht="25.5">
      <c r="A34" s="116"/>
      <c r="B34" s="125"/>
      <c r="C34" s="122"/>
      <c r="D34" s="14" t="s">
        <v>16</v>
      </c>
      <c r="E34" s="15" t="s">
        <v>15</v>
      </c>
      <c r="F34" s="16">
        <v>3146.4780000000001</v>
      </c>
      <c r="G34" s="17">
        <v>88.45</v>
      </c>
      <c r="H34" s="18">
        <f>F34*G34</f>
        <v>278305.9791</v>
      </c>
    </row>
    <row r="35" spans="1:10" s="41" customFormat="1" ht="25.5">
      <c r="A35" s="116"/>
      <c r="B35" s="125"/>
      <c r="C35" s="122"/>
      <c r="D35" s="14" t="s">
        <v>17</v>
      </c>
      <c r="E35" s="15" t="s">
        <v>15</v>
      </c>
      <c r="F35" s="16">
        <v>1471.6179999999999</v>
      </c>
      <c r="G35" s="17">
        <v>88.45</v>
      </c>
      <c r="H35" s="18">
        <f>F35*G35</f>
        <v>130164.6121</v>
      </c>
    </row>
    <row r="36" spans="1:10" s="41" customFormat="1" ht="19.5" customHeight="1">
      <c r="A36" s="116"/>
      <c r="B36" s="125"/>
      <c r="C36" s="122"/>
      <c r="D36" s="14" t="s">
        <v>18</v>
      </c>
      <c r="E36" s="15" t="s">
        <v>15</v>
      </c>
      <c r="F36" s="16">
        <v>862.09799999999996</v>
      </c>
      <c r="G36" s="17">
        <v>88.45</v>
      </c>
      <c r="H36" s="18">
        <f>F36*G36</f>
        <v>76252.568100000004</v>
      </c>
    </row>
    <row r="37" spans="1:10" s="41" customFormat="1">
      <c r="A37" s="116"/>
      <c r="B37" s="125"/>
      <c r="C37" s="122"/>
      <c r="D37" s="35" t="s">
        <v>19</v>
      </c>
      <c r="E37" s="36"/>
      <c r="F37" s="24">
        <f>F32</f>
        <v>44.622999999999998</v>
      </c>
      <c r="G37" s="25"/>
      <c r="H37" s="26">
        <f>H32</f>
        <v>2515113.3690299997</v>
      </c>
    </row>
    <row r="38" spans="1:10" s="41" customFormat="1" ht="16.5" thickBot="1">
      <c r="A38" s="117"/>
      <c r="B38" s="126"/>
      <c r="C38" s="123"/>
      <c r="D38" s="37" t="s">
        <v>20</v>
      </c>
      <c r="E38" s="38"/>
      <c r="F38" s="60">
        <f>F34+F35+F36+F33</f>
        <v>5480.2219999999998</v>
      </c>
      <c r="G38" s="61"/>
      <c r="H38" s="62">
        <f>H34+H35+H36+H33</f>
        <v>484725.63590000005</v>
      </c>
      <c r="J38" s="21"/>
    </row>
    <row r="39" spans="1:10" s="41" customFormat="1">
      <c r="A39" s="115">
        <v>6</v>
      </c>
      <c r="B39" s="118" t="s">
        <v>25</v>
      </c>
      <c r="C39" s="121" t="s">
        <v>11</v>
      </c>
      <c r="D39" s="39" t="s">
        <v>12</v>
      </c>
      <c r="E39" s="40" t="s">
        <v>13</v>
      </c>
      <c r="F39" s="11">
        <v>44.622999999999998</v>
      </c>
      <c r="G39" s="12">
        <v>56363.61</v>
      </c>
      <c r="H39" s="13">
        <f>F39*G39</f>
        <v>2515113.3690299997</v>
      </c>
    </row>
    <row r="40" spans="1:10" s="41" customFormat="1">
      <c r="A40" s="116"/>
      <c r="B40" s="119"/>
      <c r="C40" s="122"/>
      <c r="D40" s="14" t="s">
        <v>14</v>
      </c>
      <c r="E40" s="15" t="s">
        <v>15</v>
      </c>
      <c r="F40" s="16">
        <f>0.059</f>
        <v>5.8999999999999997E-2</v>
      </c>
      <c r="G40" s="17">
        <v>88.45</v>
      </c>
      <c r="H40" s="18">
        <f>F40*G40</f>
        <v>5.2185499999999996</v>
      </c>
    </row>
    <row r="41" spans="1:10" s="41" customFormat="1" ht="25.5">
      <c r="A41" s="116"/>
      <c r="B41" s="119"/>
      <c r="C41" s="122"/>
      <c r="D41" s="14" t="s">
        <v>16</v>
      </c>
      <c r="E41" s="15" t="s">
        <v>15</v>
      </c>
      <c r="F41" s="16">
        <f>3360.212+150.482</f>
        <v>3510.694</v>
      </c>
      <c r="G41" s="17">
        <v>88.45</v>
      </c>
      <c r="H41" s="18">
        <f>F41*G41</f>
        <v>310520.88430000003</v>
      </c>
    </row>
    <row r="42" spans="1:10" s="41" customFormat="1" ht="25.5">
      <c r="A42" s="116"/>
      <c r="B42" s="119"/>
      <c r="C42" s="122"/>
      <c r="D42" s="14" t="s">
        <v>17</v>
      </c>
      <c r="E42" s="15" t="s">
        <v>15</v>
      </c>
      <c r="F42" s="16">
        <f>1560.135+2.674+16.458</f>
        <v>1579.2670000000001</v>
      </c>
      <c r="G42" s="17">
        <v>88.45</v>
      </c>
      <c r="H42" s="18">
        <f>F42*G42</f>
        <v>139686.16615</v>
      </c>
    </row>
    <row r="43" spans="1:10" s="41" customFormat="1">
      <c r="A43" s="116"/>
      <c r="B43" s="119"/>
      <c r="C43" s="122"/>
      <c r="D43" s="14" t="s">
        <v>18</v>
      </c>
      <c r="E43" s="15" t="s">
        <v>15</v>
      </c>
      <c r="F43" s="16">
        <v>910.57399999999996</v>
      </c>
      <c r="G43" s="17">
        <v>88.45</v>
      </c>
      <c r="H43" s="18">
        <f>F43*G43</f>
        <v>80540.270300000004</v>
      </c>
    </row>
    <row r="44" spans="1:10" s="41" customFormat="1">
      <c r="A44" s="116"/>
      <c r="B44" s="119"/>
      <c r="C44" s="122"/>
      <c r="D44" s="35" t="s">
        <v>19</v>
      </c>
      <c r="E44" s="36"/>
      <c r="F44" s="24">
        <f>F39</f>
        <v>44.622999999999998</v>
      </c>
      <c r="G44" s="25"/>
      <c r="H44" s="26">
        <f>H39</f>
        <v>2515113.3690299997</v>
      </c>
    </row>
    <row r="45" spans="1:10" s="41" customFormat="1" ht="16.5" thickBot="1">
      <c r="A45" s="117"/>
      <c r="B45" s="120"/>
      <c r="C45" s="123"/>
      <c r="D45" s="37" t="s">
        <v>20</v>
      </c>
      <c r="E45" s="38"/>
      <c r="F45" s="60">
        <f>F41+F42+F43+F40</f>
        <v>6000.5940000000001</v>
      </c>
      <c r="G45" s="61"/>
      <c r="H45" s="62">
        <f>H41+H42+H43+H40</f>
        <v>530752.53930000006</v>
      </c>
      <c r="J45" s="21"/>
    </row>
    <row r="46" spans="1:10" s="41" customFormat="1">
      <c r="A46" s="115">
        <v>7</v>
      </c>
      <c r="B46" s="118" t="s">
        <v>26</v>
      </c>
      <c r="C46" s="121" t="s">
        <v>11</v>
      </c>
      <c r="D46" s="39" t="s">
        <v>12</v>
      </c>
      <c r="E46" s="40" t="s">
        <v>13</v>
      </c>
      <c r="F46" s="11">
        <v>44.622999999999998</v>
      </c>
      <c r="G46" s="12">
        <v>56363.61</v>
      </c>
      <c r="H46" s="13">
        <f>F46*G46</f>
        <v>2515113.3690299997</v>
      </c>
    </row>
    <row r="47" spans="1:10" s="41" customFormat="1">
      <c r="A47" s="116"/>
      <c r="B47" s="119"/>
      <c r="C47" s="122"/>
      <c r="D47" s="14" t="s">
        <v>14</v>
      </c>
      <c r="E47" s="15" t="s">
        <v>15</v>
      </c>
      <c r="F47" s="16">
        <v>0.67500000000000004</v>
      </c>
      <c r="G47" s="17">
        <v>88.45</v>
      </c>
      <c r="H47" s="18">
        <f>F47*G47</f>
        <v>59.703750000000007</v>
      </c>
    </row>
    <row r="48" spans="1:10" s="41" customFormat="1" ht="25.5">
      <c r="A48" s="116"/>
      <c r="B48" s="119"/>
      <c r="C48" s="122"/>
      <c r="D48" s="14" t="s">
        <v>16</v>
      </c>
      <c r="E48" s="15" t="s">
        <v>15</v>
      </c>
      <c r="F48" s="17">
        <f>4043.312+247.586</f>
        <v>4290.8980000000001</v>
      </c>
      <c r="G48" s="17">
        <v>88.45</v>
      </c>
      <c r="H48" s="18">
        <f>F48*G48</f>
        <v>379529.92810000002</v>
      </c>
    </row>
    <row r="49" spans="1:10" s="41" customFormat="1" ht="25.5">
      <c r="A49" s="116"/>
      <c r="B49" s="119"/>
      <c r="C49" s="122"/>
      <c r="D49" s="14" t="s">
        <v>17</v>
      </c>
      <c r="E49" s="15" t="s">
        <v>15</v>
      </c>
      <c r="F49" s="16">
        <f>1934.042+35.792+2.91</f>
        <v>1972.7439999999999</v>
      </c>
      <c r="G49" s="17">
        <v>88.45</v>
      </c>
      <c r="H49" s="18">
        <f>F49*G49</f>
        <v>174489.20679999999</v>
      </c>
    </row>
    <row r="50" spans="1:10" s="41" customFormat="1">
      <c r="A50" s="116"/>
      <c r="B50" s="119"/>
      <c r="C50" s="122"/>
      <c r="D50" s="14" t="s">
        <v>18</v>
      </c>
      <c r="E50" s="15" t="s">
        <v>15</v>
      </c>
      <c r="F50" s="16">
        <v>1285.346</v>
      </c>
      <c r="G50" s="17">
        <v>88.45</v>
      </c>
      <c r="H50" s="18">
        <f>F50*G50</f>
        <v>113688.85370000001</v>
      </c>
    </row>
    <row r="51" spans="1:10" s="41" customFormat="1">
      <c r="A51" s="116"/>
      <c r="B51" s="119"/>
      <c r="C51" s="122"/>
      <c r="D51" s="35" t="s">
        <v>19</v>
      </c>
      <c r="E51" s="36"/>
      <c r="F51" s="24">
        <f>F46</f>
        <v>44.622999999999998</v>
      </c>
      <c r="G51" s="25"/>
      <c r="H51" s="26">
        <f>H46</f>
        <v>2515113.3690299997</v>
      </c>
    </row>
    <row r="52" spans="1:10" s="41" customFormat="1" ht="16.5" thickBot="1">
      <c r="A52" s="117"/>
      <c r="B52" s="120"/>
      <c r="C52" s="123"/>
      <c r="D52" s="37" t="s">
        <v>20</v>
      </c>
      <c r="E52" s="38"/>
      <c r="F52" s="60">
        <f>F48+F49+F50+F47</f>
        <v>7549.6629999999996</v>
      </c>
      <c r="G52" s="61"/>
      <c r="H52" s="62">
        <f>H48+H49+H50+H47</f>
        <v>667767.69234999991</v>
      </c>
      <c r="J52" s="21"/>
    </row>
    <row r="53" spans="1:10" s="41" customFormat="1">
      <c r="A53" s="115">
        <v>8</v>
      </c>
      <c r="B53" s="118" t="s">
        <v>27</v>
      </c>
      <c r="C53" s="121" t="s">
        <v>11</v>
      </c>
      <c r="D53" s="39" t="s">
        <v>12</v>
      </c>
      <c r="E53" s="40" t="s">
        <v>13</v>
      </c>
      <c r="F53" s="11">
        <v>44.622999999999998</v>
      </c>
      <c r="G53" s="12">
        <v>56363.61</v>
      </c>
      <c r="H53" s="13">
        <f>F53*G53</f>
        <v>2515113.3690299997</v>
      </c>
    </row>
    <row r="54" spans="1:10" s="41" customFormat="1">
      <c r="A54" s="116"/>
      <c r="B54" s="119"/>
      <c r="C54" s="122"/>
      <c r="D54" s="14" t="s">
        <v>14</v>
      </c>
      <c r="E54" s="15" t="s">
        <v>15</v>
      </c>
      <c r="F54" s="16">
        <v>0.115</v>
      </c>
      <c r="G54" s="17">
        <v>88.45</v>
      </c>
      <c r="H54" s="18">
        <f>F54*G54</f>
        <v>10.171750000000001</v>
      </c>
    </row>
    <row r="55" spans="1:10" s="41" customFormat="1" ht="25.5">
      <c r="A55" s="116"/>
      <c r="B55" s="119"/>
      <c r="C55" s="122"/>
      <c r="D55" s="14" t="s">
        <v>16</v>
      </c>
      <c r="E55" s="15" t="s">
        <v>15</v>
      </c>
      <c r="F55" s="16">
        <f>3557.7+85.007</f>
        <v>3642.7069999999999</v>
      </c>
      <c r="G55" s="17">
        <v>88.45</v>
      </c>
      <c r="H55" s="18">
        <f>F55*G55</f>
        <v>322197.43414999999</v>
      </c>
    </row>
    <row r="56" spans="1:10" s="41" customFormat="1" ht="25.5">
      <c r="A56" s="116"/>
      <c r="B56" s="119"/>
      <c r="C56" s="122"/>
      <c r="D56" s="14" t="s">
        <v>17</v>
      </c>
      <c r="E56" s="15" t="s">
        <v>15</v>
      </c>
      <c r="F56" s="16">
        <f>1981.687+3.135+2.829</f>
        <v>1987.6509999999998</v>
      </c>
      <c r="G56" s="17">
        <v>88.45</v>
      </c>
      <c r="H56" s="18">
        <f>F56*G56</f>
        <v>175807.73095</v>
      </c>
    </row>
    <row r="57" spans="1:10" s="41" customFormat="1">
      <c r="A57" s="116"/>
      <c r="B57" s="119"/>
      <c r="C57" s="122"/>
      <c r="D57" s="14" t="s">
        <v>18</v>
      </c>
      <c r="E57" s="15" t="s">
        <v>15</v>
      </c>
      <c r="F57" s="16">
        <v>1428.7170000000001</v>
      </c>
      <c r="G57" s="17">
        <v>88.45</v>
      </c>
      <c r="H57" s="18">
        <f>F57*G57</f>
        <v>126370.01865000001</v>
      </c>
    </row>
    <row r="58" spans="1:10" s="41" customFormat="1">
      <c r="A58" s="116"/>
      <c r="B58" s="119"/>
      <c r="C58" s="122"/>
      <c r="D58" s="35" t="s">
        <v>19</v>
      </c>
      <c r="E58" s="36"/>
      <c r="F58" s="25">
        <f>F53</f>
        <v>44.622999999999998</v>
      </c>
      <c r="G58" s="25"/>
      <c r="H58" s="26">
        <f>H53</f>
        <v>2515113.3690299997</v>
      </c>
    </row>
    <row r="59" spans="1:10" s="41" customFormat="1" ht="16.5" thickBot="1">
      <c r="A59" s="117"/>
      <c r="B59" s="120"/>
      <c r="C59" s="123"/>
      <c r="D59" s="37" t="s">
        <v>20</v>
      </c>
      <c r="E59" s="38"/>
      <c r="F59" s="60">
        <f>F55+F56+F57+F54</f>
        <v>7059.1900000000005</v>
      </c>
      <c r="G59" s="61"/>
      <c r="H59" s="62">
        <f>H55+H56+H57+H54</f>
        <v>624385.35549999995</v>
      </c>
    </row>
    <row r="60" spans="1:10" s="41" customFormat="1" ht="16.5" customHeight="1">
      <c r="A60" s="115">
        <v>9</v>
      </c>
      <c r="B60" s="118" t="s">
        <v>28</v>
      </c>
      <c r="C60" s="121" t="s">
        <v>11</v>
      </c>
      <c r="D60" s="39" t="s">
        <v>12</v>
      </c>
      <c r="E60" s="40" t="s">
        <v>13</v>
      </c>
      <c r="F60" s="11">
        <v>44.622999999999998</v>
      </c>
      <c r="G60" s="12">
        <v>56363.61</v>
      </c>
      <c r="H60" s="13">
        <f>F60*G60</f>
        <v>2515113.3690299997</v>
      </c>
    </row>
    <row r="61" spans="1:10" s="41" customFormat="1" ht="16.5" customHeight="1">
      <c r="A61" s="116"/>
      <c r="B61" s="119"/>
      <c r="C61" s="122"/>
      <c r="D61" s="14" t="s">
        <v>14</v>
      </c>
      <c r="E61" s="15" t="s">
        <v>15</v>
      </c>
      <c r="F61" s="16">
        <v>1.2999999999999999E-2</v>
      </c>
      <c r="G61" s="17">
        <v>88.45</v>
      </c>
      <c r="H61" s="18">
        <f>F61*G61</f>
        <v>1.14985</v>
      </c>
    </row>
    <row r="62" spans="1:10" s="41" customFormat="1" ht="25.5">
      <c r="A62" s="116"/>
      <c r="B62" s="119"/>
      <c r="C62" s="122"/>
      <c r="D62" s="14" t="s">
        <v>16</v>
      </c>
      <c r="E62" s="15" t="s">
        <v>15</v>
      </c>
      <c r="F62" s="16">
        <f>2798.952+19.668</f>
        <v>2818.6200000000003</v>
      </c>
      <c r="G62" s="17">
        <v>88.45</v>
      </c>
      <c r="H62" s="18">
        <f>F62*G62</f>
        <v>249306.93900000004</v>
      </c>
    </row>
    <row r="63" spans="1:10" s="41" customFormat="1" ht="25.5">
      <c r="A63" s="116"/>
      <c r="B63" s="119"/>
      <c r="C63" s="122"/>
      <c r="D63" s="14" t="s">
        <v>17</v>
      </c>
      <c r="E63" s="15" t="s">
        <v>15</v>
      </c>
      <c r="F63" s="16">
        <f>1461.11+2.729+0.001</f>
        <v>1463.84</v>
      </c>
      <c r="G63" s="17">
        <v>88.45</v>
      </c>
      <c r="H63" s="18">
        <f>F63*G63</f>
        <v>129476.648</v>
      </c>
    </row>
    <row r="64" spans="1:10" s="41" customFormat="1">
      <c r="A64" s="116"/>
      <c r="B64" s="119"/>
      <c r="C64" s="122"/>
      <c r="D64" s="14" t="s">
        <v>18</v>
      </c>
      <c r="E64" s="15" t="s">
        <v>15</v>
      </c>
      <c r="F64" s="16">
        <v>1029.7260000000001</v>
      </c>
      <c r="G64" s="17">
        <v>88.45</v>
      </c>
      <c r="H64" s="18">
        <f>F64*G64</f>
        <v>91079.264700000014</v>
      </c>
    </row>
    <row r="65" spans="1:8" s="41" customFormat="1">
      <c r="A65" s="116"/>
      <c r="B65" s="119"/>
      <c r="C65" s="122"/>
      <c r="D65" s="35" t="s">
        <v>19</v>
      </c>
      <c r="E65" s="36"/>
      <c r="F65" s="25">
        <f>F60</f>
        <v>44.622999999999998</v>
      </c>
      <c r="G65" s="25"/>
      <c r="H65" s="26">
        <f>H60</f>
        <v>2515113.3690299997</v>
      </c>
    </row>
    <row r="66" spans="1:8" s="41" customFormat="1" ht="16.5" thickBot="1">
      <c r="A66" s="117"/>
      <c r="B66" s="120"/>
      <c r="C66" s="123"/>
      <c r="D66" s="37" t="s">
        <v>20</v>
      </c>
      <c r="E66" s="38"/>
      <c r="F66" s="60">
        <f>F62+F63+F64+F61</f>
        <v>5312.1989999999996</v>
      </c>
      <c r="G66" s="61"/>
      <c r="H66" s="62">
        <f>H62+H63+H64+H61</f>
        <v>469864.00155000004</v>
      </c>
    </row>
    <row r="67" spans="1:8" s="41" customFormat="1" ht="16.5" customHeight="1">
      <c r="A67" s="115">
        <v>10</v>
      </c>
      <c r="B67" s="118" t="s">
        <v>29</v>
      </c>
      <c r="C67" s="121" t="s">
        <v>11</v>
      </c>
      <c r="D67" s="39" t="s">
        <v>12</v>
      </c>
      <c r="E67" s="40" t="s">
        <v>13</v>
      </c>
      <c r="F67" s="11">
        <v>44.622999999999998</v>
      </c>
      <c r="G67" s="12">
        <v>56363.61</v>
      </c>
      <c r="H67" s="13">
        <f>F67*G67</f>
        <v>2515113.3690299997</v>
      </c>
    </row>
    <row r="68" spans="1:8" s="41" customFormat="1" ht="16.5" customHeight="1">
      <c r="A68" s="116"/>
      <c r="B68" s="119"/>
      <c r="C68" s="122"/>
      <c r="D68" s="14" t="s">
        <v>14</v>
      </c>
      <c r="E68" s="15" t="s">
        <v>15</v>
      </c>
      <c r="F68" s="16">
        <v>1.4E-2</v>
      </c>
      <c r="G68" s="17">
        <v>88.45</v>
      </c>
      <c r="H68" s="18">
        <f>F68*G68</f>
        <v>1.2383</v>
      </c>
    </row>
    <row r="69" spans="1:8" s="41" customFormat="1" ht="25.5">
      <c r="A69" s="116"/>
      <c r="B69" s="119"/>
      <c r="C69" s="122"/>
      <c r="D69" s="14" t="s">
        <v>16</v>
      </c>
      <c r="E69" s="15" t="s">
        <v>15</v>
      </c>
      <c r="F69" s="16">
        <f>3896.696+169.676</f>
        <v>4066.3719999999998</v>
      </c>
      <c r="G69" s="17">
        <v>88.45</v>
      </c>
      <c r="H69" s="18">
        <f>F69*G69</f>
        <v>359670.60340000002</v>
      </c>
    </row>
    <row r="70" spans="1:8" s="41" customFormat="1" ht="25.5">
      <c r="A70" s="116"/>
      <c r="B70" s="119"/>
      <c r="C70" s="122"/>
      <c r="D70" s="14" t="s">
        <v>17</v>
      </c>
      <c r="E70" s="15" t="s">
        <v>15</v>
      </c>
      <c r="F70" s="16">
        <f>1413.734+1.52</f>
        <v>1415.2539999999999</v>
      </c>
      <c r="G70" s="17">
        <v>88.45</v>
      </c>
      <c r="H70" s="18">
        <f>F70*G70</f>
        <v>125179.2163</v>
      </c>
    </row>
    <row r="71" spans="1:8" s="41" customFormat="1">
      <c r="A71" s="116"/>
      <c r="B71" s="119"/>
      <c r="C71" s="122"/>
      <c r="D71" s="14" t="s">
        <v>18</v>
      </c>
      <c r="E71" s="15" t="s">
        <v>15</v>
      </c>
      <c r="F71" s="16">
        <v>971.19299999999998</v>
      </c>
      <c r="G71" s="17">
        <v>88.45</v>
      </c>
      <c r="H71" s="18">
        <f>F71*G71</f>
        <v>85902.020850000001</v>
      </c>
    </row>
    <row r="72" spans="1:8" s="41" customFormat="1">
      <c r="A72" s="116"/>
      <c r="B72" s="119"/>
      <c r="C72" s="122"/>
      <c r="D72" s="35" t="s">
        <v>19</v>
      </c>
      <c r="E72" s="36"/>
      <c r="F72" s="25">
        <f>F67</f>
        <v>44.622999999999998</v>
      </c>
      <c r="G72" s="25"/>
      <c r="H72" s="26">
        <f>H67</f>
        <v>2515113.3690299997</v>
      </c>
    </row>
    <row r="73" spans="1:8" s="41" customFormat="1" ht="16.5" thickBot="1">
      <c r="A73" s="117"/>
      <c r="B73" s="120"/>
      <c r="C73" s="123"/>
      <c r="D73" s="37" t="s">
        <v>20</v>
      </c>
      <c r="E73" s="38"/>
      <c r="F73" s="60">
        <f>F69+F70+F71+F68</f>
        <v>6452.8330000000005</v>
      </c>
      <c r="G73" s="61"/>
      <c r="H73" s="62">
        <f>H69+H70+H71+H68</f>
        <v>570753.07884999993</v>
      </c>
    </row>
    <row r="74" spans="1:8" s="43" customFormat="1" ht="16.5" customHeight="1">
      <c r="A74" s="115">
        <v>11</v>
      </c>
      <c r="B74" s="118" t="s">
        <v>30</v>
      </c>
      <c r="C74" s="121" t="s">
        <v>11</v>
      </c>
      <c r="D74" s="39" t="s">
        <v>12</v>
      </c>
      <c r="E74" s="40" t="s">
        <v>13</v>
      </c>
      <c r="F74" s="11">
        <v>44.622999999999998</v>
      </c>
      <c r="G74" s="12">
        <v>56363.61</v>
      </c>
      <c r="H74" s="13">
        <f>F74*G74</f>
        <v>2515113.3690299997</v>
      </c>
    </row>
    <row r="75" spans="1:8" s="43" customFormat="1" ht="16.5" customHeight="1">
      <c r="A75" s="116"/>
      <c r="B75" s="119"/>
      <c r="C75" s="122"/>
      <c r="D75" s="14" t="s">
        <v>14</v>
      </c>
      <c r="E75" s="15" t="s">
        <v>15</v>
      </c>
      <c r="F75" s="16">
        <v>0.13800000000000001</v>
      </c>
      <c r="G75" s="17">
        <v>88.45</v>
      </c>
      <c r="H75" s="18">
        <f>F75*G75</f>
        <v>12.206100000000001</v>
      </c>
    </row>
    <row r="76" spans="1:8" s="43" customFormat="1" ht="25.5">
      <c r="A76" s="116"/>
      <c r="B76" s="119"/>
      <c r="C76" s="122"/>
      <c r="D76" s="14" t="s">
        <v>16</v>
      </c>
      <c r="E76" s="15" t="s">
        <v>15</v>
      </c>
      <c r="F76" s="16">
        <f>3866.573+123.28</f>
        <v>3989.8530000000001</v>
      </c>
      <c r="G76" s="17">
        <v>88.45</v>
      </c>
      <c r="H76" s="18">
        <f>F76*G76</f>
        <v>352902.49785000004</v>
      </c>
    </row>
    <row r="77" spans="1:8" s="43" customFormat="1" ht="25.5">
      <c r="A77" s="116"/>
      <c r="B77" s="119"/>
      <c r="C77" s="122"/>
      <c r="D77" s="14" t="s">
        <v>17</v>
      </c>
      <c r="E77" s="15" t="s">
        <v>15</v>
      </c>
      <c r="F77" s="16">
        <f>1386.388+0.001+4.54</f>
        <v>1390.9289999999999</v>
      </c>
      <c r="G77" s="17">
        <v>88.45</v>
      </c>
      <c r="H77" s="18">
        <f>F77*G77</f>
        <v>123027.67004999999</v>
      </c>
    </row>
    <row r="78" spans="1:8" s="43" customFormat="1">
      <c r="A78" s="116"/>
      <c r="B78" s="119"/>
      <c r="C78" s="122"/>
      <c r="D78" s="14" t="s">
        <v>18</v>
      </c>
      <c r="E78" s="15" t="s">
        <v>15</v>
      </c>
      <c r="F78" s="16">
        <v>910.51499999999999</v>
      </c>
      <c r="G78" s="17">
        <v>88.45</v>
      </c>
      <c r="H78" s="18">
        <f>F78*G78</f>
        <v>80535.051749999999</v>
      </c>
    </row>
    <row r="79" spans="1:8" s="43" customFormat="1">
      <c r="A79" s="116"/>
      <c r="B79" s="119"/>
      <c r="C79" s="122"/>
      <c r="D79" s="35" t="s">
        <v>19</v>
      </c>
      <c r="E79" s="36"/>
      <c r="F79" s="25">
        <f>F74</f>
        <v>44.622999999999998</v>
      </c>
      <c r="G79" s="25"/>
      <c r="H79" s="26">
        <f>H74</f>
        <v>2515113.3690299997</v>
      </c>
    </row>
    <row r="80" spans="1:8" s="43" customFormat="1" ht="16.5" thickBot="1">
      <c r="A80" s="117"/>
      <c r="B80" s="120"/>
      <c r="C80" s="123"/>
      <c r="D80" s="37" t="s">
        <v>20</v>
      </c>
      <c r="E80" s="38"/>
      <c r="F80" s="60">
        <f>F76+F77+F78+F75</f>
        <v>6291.4350000000004</v>
      </c>
      <c r="G80" s="61"/>
      <c r="H80" s="62">
        <f>H76+H77+H78+H75</f>
        <v>556477.42574999994</v>
      </c>
    </row>
    <row r="81" spans="1:16" s="41" customFormat="1" ht="16.5" customHeight="1">
      <c r="A81" s="115">
        <v>12</v>
      </c>
      <c r="B81" s="118" t="s">
        <v>31</v>
      </c>
      <c r="C81" s="121" t="s">
        <v>11</v>
      </c>
      <c r="D81" s="39" t="s">
        <v>12</v>
      </c>
      <c r="E81" s="40" t="s">
        <v>13</v>
      </c>
      <c r="F81" s="11">
        <f>F74</f>
        <v>44.622999999999998</v>
      </c>
      <c r="G81" s="12">
        <v>56363.61</v>
      </c>
      <c r="H81" s="13">
        <f>F81*G81</f>
        <v>2515113.3690299997</v>
      </c>
    </row>
    <row r="82" spans="1:16" s="41" customFormat="1" ht="16.5" customHeight="1">
      <c r="A82" s="116"/>
      <c r="B82" s="119"/>
      <c r="C82" s="122"/>
      <c r="D82" s="14" t="s">
        <v>14</v>
      </c>
      <c r="E82" s="15" t="s">
        <v>15</v>
      </c>
      <c r="F82" s="16">
        <v>5.3999999999999999E-2</v>
      </c>
      <c r="G82" s="17">
        <v>88.45</v>
      </c>
      <c r="H82" s="18">
        <f>F82*G82</f>
        <v>4.7763</v>
      </c>
    </row>
    <row r="83" spans="1:16" s="41" customFormat="1" ht="25.5">
      <c r="A83" s="116"/>
      <c r="B83" s="119"/>
      <c r="C83" s="122"/>
      <c r="D83" s="14" t="s">
        <v>16</v>
      </c>
      <c r="E83" s="15" t="s">
        <v>15</v>
      </c>
      <c r="F83" s="16">
        <f>4447.657+200.29</f>
        <v>4647.9470000000001</v>
      </c>
      <c r="G83" s="17">
        <v>88.45</v>
      </c>
      <c r="H83" s="18">
        <f>F83*G83</f>
        <v>411110.91215000005</v>
      </c>
    </row>
    <row r="84" spans="1:16" s="41" customFormat="1" ht="25.5">
      <c r="A84" s="116"/>
      <c r="B84" s="119"/>
      <c r="C84" s="122"/>
      <c r="D84" s="14" t="s">
        <v>17</v>
      </c>
      <c r="E84" s="15" t="s">
        <v>15</v>
      </c>
      <c r="F84" s="16">
        <f>1552.607+4.07</f>
        <v>1556.6769999999999</v>
      </c>
      <c r="G84" s="17">
        <v>88.45</v>
      </c>
      <c r="H84" s="18">
        <f>F84*G84</f>
        <v>137688.08064999999</v>
      </c>
    </row>
    <row r="85" spans="1:16" s="41" customFormat="1">
      <c r="A85" s="116"/>
      <c r="B85" s="119"/>
      <c r="C85" s="122"/>
      <c r="D85" s="14" t="s">
        <v>18</v>
      </c>
      <c r="E85" s="15" t="s">
        <v>15</v>
      </c>
      <c r="F85" s="16">
        <v>894.1</v>
      </c>
      <c r="G85" s="17">
        <v>88.45</v>
      </c>
      <c r="H85" s="18">
        <f>F85*G85</f>
        <v>79083.145000000004</v>
      </c>
    </row>
    <row r="86" spans="1:16" s="41" customFormat="1">
      <c r="A86" s="116"/>
      <c r="B86" s="119"/>
      <c r="C86" s="122"/>
      <c r="D86" s="35" t="s">
        <v>19</v>
      </c>
      <c r="E86" s="36"/>
      <c r="F86" s="25">
        <f>F81</f>
        <v>44.622999999999998</v>
      </c>
      <c r="G86" s="25"/>
      <c r="H86" s="26">
        <f>H81</f>
        <v>2515113.3690299997</v>
      </c>
    </row>
    <row r="87" spans="1:16" s="41" customFormat="1" ht="16.5" thickBot="1">
      <c r="A87" s="117"/>
      <c r="B87" s="120"/>
      <c r="C87" s="123"/>
      <c r="D87" s="37" t="s">
        <v>20</v>
      </c>
      <c r="E87" s="38"/>
      <c r="F87" s="60">
        <f>F83+F84+F85+F82</f>
        <v>7098.7780000000002</v>
      </c>
      <c r="G87" s="61"/>
      <c r="H87" s="62">
        <f>H83+H84+H85+H82</f>
        <v>627886.91410000005</v>
      </c>
    </row>
    <row r="88" spans="1:16">
      <c r="A88" s="115">
        <v>13</v>
      </c>
      <c r="B88" s="118">
        <v>2021</v>
      </c>
      <c r="C88" s="121" t="s">
        <v>11</v>
      </c>
      <c r="D88" s="39" t="s">
        <v>12</v>
      </c>
      <c r="E88" s="40" t="s">
        <v>13</v>
      </c>
      <c r="F88" s="11">
        <v>44.622999999999998</v>
      </c>
      <c r="G88" s="12">
        <v>56363.61</v>
      </c>
      <c r="H88" s="44">
        <f>F88*G88*12</f>
        <v>30181360.428359997</v>
      </c>
      <c r="I88" s="45"/>
      <c r="J88" s="46"/>
    </row>
    <row r="89" spans="1:16">
      <c r="A89" s="116"/>
      <c r="B89" s="119"/>
      <c r="C89" s="122"/>
      <c r="D89" s="14" t="s">
        <v>14</v>
      </c>
      <c r="E89" s="15" t="s">
        <v>15</v>
      </c>
      <c r="F89" s="47">
        <f>F5+F12+F19+F26+F33+F40+F47+F54+F61+F68+F75+F82</f>
        <v>137.06500000000005</v>
      </c>
      <c r="G89" s="65">
        <v>88.45</v>
      </c>
      <c r="H89" s="63">
        <f>F89*G89</f>
        <v>12123.399250000006</v>
      </c>
      <c r="J89" s="21"/>
      <c r="K89" s="46"/>
      <c r="L89" s="46"/>
    </row>
    <row r="90" spans="1:16" ht="25.5">
      <c r="A90" s="116"/>
      <c r="B90" s="119"/>
      <c r="C90" s="122"/>
      <c r="D90" s="14" t="s">
        <v>16</v>
      </c>
      <c r="E90" s="15" t="s">
        <v>15</v>
      </c>
      <c r="F90" s="47">
        <f>F6+F13+F20+F27+F34+F41+F48+F55+F62+F69+F76+F83</f>
        <v>47410.266000000003</v>
      </c>
      <c r="G90" s="65">
        <v>88.45</v>
      </c>
      <c r="H90" s="63">
        <f>F90*G90</f>
        <v>4193438.0277000004</v>
      </c>
      <c r="J90" s="21"/>
      <c r="K90" s="21"/>
      <c r="L90" s="21"/>
    </row>
    <row r="91" spans="1:16" ht="25.5">
      <c r="A91" s="116"/>
      <c r="B91" s="119"/>
      <c r="C91" s="122"/>
      <c r="D91" s="14" t="s">
        <v>17</v>
      </c>
      <c r="E91" s="15" t="s">
        <v>15</v>
      </c>
      <c r="F91" s="47">
        <f>F7+F14+F21+F28+F35+F42+F49+F56+F63+F70+F77+F84</f>
        <v>18739.154999999999</v>
      </c>
      <c r="G91" s="65">
        <v>88.45</v>
      </c>
      <c r="H91" s="63">
        <f>F91*G91</f>
        <v>1657478.25975</v>
      </c>
      <c r="J91" s="21"/>
      <c r="K91" s="21"/>
      <c r="L91" s="21"/>
    </row>
    <row r="92" spans="1:16">
      <c r="A92" s="116"/>
      <c r="B92" s="119"/>
      <c r="C92" s="122"/>
      <c r="D92" s="14" t="s">
        <v>18</v>
      </c>
      <c r="E92" s="15" t="s">
        <v>15</v>
      </c>
      <c r="F92" s="47">
        <f>F8+F15+F22+F29+F36+F43+F50+F57+F64+F71+F78+F85</f>
        <v>11705.811</v>
      </c>
      <c r="G92" s="65">
        <v>88.45</v>
      </c>
      <c r="H92" s="63">
        <f>F92*G92</f>
        <v>1035378.98295</v>
      </c>
      <c r="K92" s="21"/>
      <c r="L92" s="21"/>
    </row>
    <row r="93" spans="1:16">
      <c r="A93" s="116"/>
      <c r="B93" s="119"/>
      <c r="C93" s="122"/>
      <c r="D93" s="35" t="s">
        <v>19</v>
      </c>
      <c r="E93" s="36"/>
      <c r="F93" s="24">
        <f>F88</f>
        <v>44.622999999999998</v>
      </c>
      <c r="G93" s="25"/>
      <c r="H93" s="26">
        <f>H88</f>
        <v>30181360.428359997</v>
      </c>
      <c r="I93" s="64">
        <f>H9+H16+H23+H30+H37+H44+H51+H58+H65+H72+H79+H86</f>
        <v>30181360.428359989</v>
      </c>
      <c r="J93" s="48"/>
      <c r="K93" s="48"/>
      <c r="L93" s="49"/>
      <c r="M93" s="27"/>
      <c r="N93" s="45"/>
      <c r="P93" s="27"/>
    </row>
    <row r="94" spans="1:16" ht="16.5" thickBot="1">
      <c r="A94" s="117"/>
      <c r="B94" s="120"/>
      <c r="C94" s="123"/>
      <c r="D94" s="37" t="s">
        <v>20</v>
      </c>
      <c r="E94" s="38"/>
      <c r="F94" s="30">
        <f>F90+F91+F92+F89</f>
        <v>77992.297000000006</v>
      </c>
      <c r="G94" s="31"/>
      <c r="H94" s="32">
        <f>H90+H91+H92+H89</f>
        <v>6898418.6696500005</v>
      </c>
      <c r="I94" s="64">
        <f>H10+H17+H24+H31+H38+H45+H52+H59+H66+H73+H80+H87</f>
        <v>6898418.6696500005</v>
      </c>
      <c r="J94" s="48"/>
      <c r="K94" s="48"/>
      <c r="L94" s="48"/>
      <c r="N94" s="45"/>
      <c r="P94" s="27"/>
    </row>
    <row r="95" spans="1:16">
      <c r="A95" s="50"/>
      <c r="B95" s="50"/>
      <c r="C95" s="51"/>
      <c r="D95" s="52"/>
      <c r="E95" s="53"/>
      <c r="F95" s="54"/>
      <c r="G95" s="55"/>
      <c r="H95" s="55"/>
      <c r="K95" s="27"/>
    </row>
    <row r="96" spans="1:16" s="56" customFormat="1" ht="18.75">
      <c r="E96" s="57"/>
      <c r="H96" s="58"/>
      <c r="J96" s="45"/>
      <c r="L96" s="58"/>
      <c r="M96" s="58"/>
    </row>
    <row r="97" spans="2:12" s="56" customFormat="1" ht="18.75">
      <c r="B97" s="56" t="s">
        <v>32</v>
      </c>
      <c r="E97" s="57"/>
      <c r="F97" s="56" t="s">
        <v>33</v>
      </c>
      <c r="J97" s="2"/>
      <c r="L97" s="59"/>
    </row>
    <row r="98" spans="2:12" s="56" customFormat="1" ht="18.75">
      <c r="E98" s="57"/>
    </row>
    <row r="99" spans="2:12" s="56" customFormat="1" ht="18.75">
      <c r="B99" s="56" t="s">
        <v>34</v>
      </c>
      <c r="E99" s="57"/>
      <c r="F99" s="56" t="s">
        <v>35</v>
      </c>
    </row>
    <row r="103" spans="2:12">
      <c r="H103" s="27"/>
    </row>
  </sheetData>
  <mergeCells count="41">
    <mergeCell ref="A11:A17"/>
    <mergeCell ref="B11:B17"/>
    <mergeCell ref="C11:C17"/>
    <mergeCell ref="A1:H1"/>
    <mergeCell ref="J3:L3"/>
    <mergeCell ref="A4:A10"/>
    <mergeCell ref="B4:B10"/>
    <mergeCell ref="C4:C10"/>
    <mergeCell ref="A18:A24"/>
    <mergeCell ref="B18:B24"/>
    <mergeCell ref="C18:C24"/>
    <mergeCell ref="A25:A31"/>
    <mergeCell ref="B25:B31"/>
    <mergeCell ref="C25:C31"/>
    <mergeCell ref="A32:A38"/>
    <mergeCell ref="B32:B38"/>
    <mergeCell ref="C32:C38"/>
    <mergeCell ref="A39:A45"/>
    <mergeCell ref="B39:B45"/>
    <mergeCell ref="C39:C45"/>
    <mergeCell ref="A46:A52"/>
    <mergeCell ref="B46:B52"/>
    <mergeCell ref="C46:C52"/>
    <mergeCell ref="A53:A59"/>
    <mergeCell ref="B53:B59"/>
    <mergeCell ref="C53:C59"/>
    <mergeCell ref="A60:A66"/>
    <mergeCell ref="B60:B66"/>
    <mergeCell ref="C60:C66"/>
    <mergeCell ref="A67:A73"/>
    <mergeCell ref="B67:B73"/>
    <mergeCell ref="C67:C73"/>
    <mergeCell ref="A88:A94"/>
    <mergeCell ref="B88:B94"/>
    <mergeCell ref="C88:C94"/>
    <mergeCell ref="A74:A80"/>
    <mergeCell ref="B74:B80"/>
    <mergeCell ref="C74:C80"/>
    <mergeCell ref="A81:A87"/>
    <mergeCell ref="B81:B87"/>
    <mergeCell ref="C81:C8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03"/>
  <sheetViews>
    <sheetView workbookViewId="0">
      <selection activeCell="J87" sqref="J87"/>
    </sheetView>
  </sheetViews>
  <sheetFormatPr defaultRowHeight="15.75"/>
  <cols>
    <col min="1" max="1" width="5.5703125" style="2" customWidth="1"/>
    <col min="2" max="2" width="13.28515625" style="2" customWidth="1"/>
    <col min="3" max="3" width="17.140625" style="2" customWidth="1"/>
    <col min="4" max="4" width="43.28515625" style="2" customWidth="1"/>
    <col min="5" max="5" width="15" style="3" customWidth="1"/>
    <col min="6" max="6" width="18.28515625" style="2" customWidth="1"/>
    <col min="7" max="7" width="15.28515625" style="2" customWidth="1"/>
    <col min="8" max="8" width="19.85546875" style="2" customWidth="1"/>
    <col min="9" max="9" width="16.5703125" style="2" bestFit="1" customWidth="1"/>
    <col min="10" max="10" width="22" style="2" bestFit="1" customWidth="1"/>
    <col min="11" max="11" width="13.140625" style="2" bestFit="1" customWidth="1"/>
    <col min="12" max="12" width="22" style="2" bestFit="1" customWidth="1"/>
    <col min="13" max="13" width="16.42578125" style="2" bestFit="1" customWidth="1"/>
    <col min="14" max="14" width="17.85546875" style="2" bestFit="1" customWidth="1"/>
    <col min="15" max="256" width="9.140625" style="2"/>
    <col min="257" max="257" width="5.5703125" style="2" customWidth="1"/>
    <col min="258" max="258" width="13.28515625" style="2" customWidth="1"/>
    <col min="259" max="259" width="17.140625" style="2" customWidth="1"/>
    <col min="260" max="260" width="43.28515625" style="2" customWidth="1"/>
    <col min="261" max="261" width="15" style="2" customWidth="1"/>
    <col min="262" max="262" width="18.28515625" style="2" customWidth="1"/>
    <col min="263" max="263" width="15.28515625" style="2" customWidth="1"/>
    <col min="264" max="264" width="19.85546875" style="2" customWidth="1"/>
    <col min="265" max="265" width="16.5703125" style="2" bestFit="1" customWidth="1"/>
    <col min="266" max="266" width="22" style="2" bestFit="1" customWidth="1"/>
    <col min="267" max="267" width="13.140625" style="2" bestFit="1" customWidth="1"/>
    <col min="268" max="268" width="22" style="2" bestFit="1" customWidth="1"/>
    <col min="269" max="269" width="16.42578125" style="2" bestFit="1" customWidth="1"/>
    <col min="270" max="270" width="17.85546875" style="2" bestFit="1" customWidth="1"/>
    <col min="271" max="512" width="9.140625" style="2"/>
    <col min="513" max="513" width="5.5703125" style="2" customWidth="1"/>
    <col min="514" max="514" width="13.28515625" style="2" customWidth="1"/>
    <col min="515" max="515" width="17.140625" style="2" customWidth="1"/>
    <col min="516" max="516" width="43.28515625" style="2" customWidth="1"/>
    <col min="517" max="517" width="15" style="2" customWidth="1"/>
    <col min="518" max="518" width="18.28515625" style="2" customWidth="1"/>
    <col min="519" max="519" width="15.28515625" style="2" customWidth="1"/>
    <col min="520" max="520" width="19.85546875" style="2" customWidth="1"/>
    <col min="521" max="521" width="16.5703125" style="2" bestFit="1" customWidth="1"/>
    <col min="522" max="522" width="22" style="2" bestFit="1" customWidth="1"/>
    <col min="523" max="523" width="13.140625" style="2" bestFit="1" customWidth="1"/>
    <col min="524" max="524" width="22" style="2" bestFit="1" customWidth="1"/>
    <col min="525" max="525" width="16.42578125" style="2" bestFit="1" customWidth="1"/>
    <col min="526" max="526" width="17.85546875" style="2" bestFit="1" customWidth="1"/>
    <col min="527" max="768" width="9.140625" style="2"/>
    <col min="769" max="769" width="5.5703125" style="2" customWidth="1"/>
    <col min="770" max="770" width="13.28515625" style="2" customWidth="1"/>
    <col min="771" max="771" width="17.140625" style="2" customWidth="1"/>
    <col min="772" max="772" width="43.28515625" style="2" customWidth="1"/>
    <col min="773" max="773" width="15" style="2" customWidth="1"/>
    <col min="774" max="774" width="18.28515625" style="2" customWidth="1"/>
    <col min="775" max="775" width="15.28515625" style="2" customWidth="1"/>
    <col min="776" max="776" width="19.85546875" style="2" customWidth="1"/>
    <col min="777" max="777" width="16.5703125" style="2" bestFit="1" customWidth="1"/>
    <col min="778" max="778" width="22" style="2" bestFit="1" customWidth="1"/>
    <col min="779" max="779" width="13.140625" style="2" bestFit="1" customWidth="1"/>
    <col min="780" max="780" width="22" style="2" bestFit="1" customWidth="1"/>
    <col min="781" max="781" width="16.42578125" style="2" bestFit="1" customWidth="1"/>
    <col min="782" max="782" width="17.85546875" style="2" bestFit="1" customWidth="1"/>
    <col min="783" max="1024" width="9.140625" style="2"/>
    <col min="1025" max="1025" width="5.5703125" style="2" customWidth="1"/>
    <col min="1026" max="1026" width="13.28515625" style="2" customWidth="1"/>
    <col min="1027" max="1027" width="17.140625" style="2" customWidth="1"/>
    <col min="1028" max="1028" width="43.28515625" style="2" customWidth="1"/>
    <col min="1029" max="1029" width="15" style="2" customWidth="1"/>
    <col min="1030" max="1030" width="18.28515625" style="2" customWidth="1"/>
    <col min="1031" max="1031" width="15.28515625" style="2" customWidth="1"/>
    <col min="1032" max="1032" width="19.85546875" style="2" customWidth="1"/>
    <col min="1033" max="1033" width="16.5703125" style="2" bestFit="1" customWidth="1"/>
    <col min="1034" max="1034" width="22" style="2" bestFit="1" customWidth="1"/>
    <col min="1035" max="1035" width="13.140625" style="2" bestFit="1" customWidth="1"/>
    <col min="1036" max="1036" width="22" style="2" bestFit="1" customWidth="1"/>
    <col min="1037" max="1037" width="16.42578125" style="2" bestFit="1" customWidth="1"/>
    <col min="1038" max="1038" width="17.85546875" style="2" bestFit="1" customWidth="1"/>
    <col min="1039" max="1280" width="9.140625" style="2"/>
    <col min="1281" max="1281" width="5.5703125" style="2" customWidth="1"/>
    <col min="1282" max="1282" width="13.28515625" style="2" customWidth="1"/>
    <col min="1283" max="1283" width="17.140625" style="2" customWidth="1"/>
    <col min="1284" max="1284" width="43.28515625" style="2" customWidth="1"/>
    <col min="1285" max="1285" width="15" style="2" customWidth="1"/>
    <col min="1286" max="1286" width="18.28515625" style="2" customWidth="1"/>
    <col min="1287" max="1287" width="15.28515625" style="2" customWidth="1"/>
    <col min="1288" max="1288" width="19.85546875" style="2" customWidth="1"/>
    <col min="1289" max="1289" width="16.5703125" style="2" bestFit="1" customWidth="1"/>
    <col min="1290" max="1290" width="22" style="2" bestFit="1" customWidth="1"/>
    <col min="1291" max="1291" width="13.140625" style="2" bestFit="1" customWidth="1"/>
    <col min="1292" max="1292" width="22" style="2" bestFit="1" customWidth="1"/>
    <col min="1293" max="1293" width="16.42578125" style="2" bestFit="1" customWidth="1"/>
    <col min="1294" max="1294" width="17.85546875" style="2" bestFit="1" customWidth="1"/>
    <col min="1295" max="1536" width="9.140625" style="2"/>
    <col min="1537" max="1537" width="5.5703125" style="2" customWidth="1"/>
    <col min="1538" max="1538" width="13.28515625" style="2" customWidth="1"/>
    <col min="1539" max="1539" width="17.140625" style="2" customWidth="1"/>
    <col min="1540" max="1540" width="43.28515625" style="2" customWidth="1"/>
    <col min="1541" max="1541" width="15" style="2" customWidth="1"/>
    <col min="1542" max="1542" width="18.28515625" style="2" customWidth="1"/>
    <col min="1543" max="1543" width="15.28515625" style="2" customWidth="1"/>
    <col min="1544" max="1544" width="19.85546875" style="2" customWidth="1"/>
    <col min="1545" max="1545" width="16.5703125" style="2" bestFit="1" customWidth="1"/>
    <col min="1546" max="1546" width="22" style="2" bestFit="1" customWidth="1"/>
    <col min="1547" max="1547" width="13.140625" style="2" bestFit="1" customWidth="1"/>
    <col min="1548" max="1548" width="22" style="2" bestFit="1" customWidth="1"/>
    <col min="1549" max="1549" width="16.42578125" style="2" bestFit="1" customWidth="1"/>
    <col min="1550" max="1550" width="17.85546875" style="2" bestFit="1" customWidth="1"/>
    <col min="1551" max="1792" width="9.140625" style="2"/>
    <col min="1793" max="1793" width="5.5703125" style="2" customWidth="1"/>
    <col min="1794" max="1794" width="13.28515625" style="2" customWidth="1"/>
    <col min="1795" max="1795" width="17.140625" style="2" customWidth="1"/>
    <col min="1796" max="1796" width="43.28515625" style="2" customWidth="1"/>
    <col min="1797" max="1797" width="15" style="2" customWidth="1"/>
    <col min="1798" max="1798" width="18.28515625" style="2" customWidth="1"/>
    <col min="1799" max="1799" width="15.28515625" style="2" customWidth="1"/>
    <col min="1800" max="1800" width="19.85546875" style="2" customWidth="1"/>
    <col min="1801" max="1801" width="16.5703125" style="2" bestFit="1" customWidth="1"/>
    <col min="1802" max="1802" width="22" style="2" bestFit="1" customWidth="1"/>
    <col min="1803" max="1803" width="13.140625" style="2" bestFit="1" customWidth="1"/>
    <col min="1804" max="1804" width="22" style="2" bestFit="1" customWidth="1"/>
    <col min="1805" max="1805" width="16.42578125" style="2" bestFit="1" customWidth="1"/>
    <col min="1806" max="1806" width="17.85546875" style="2" bestFit="1" customWidth="1"/>
    <col min="1807" max="2048" width="9.140625" style="2"/>
    <col min="2049" max="2049" width="5.5703125" style="2" customWidth="1"/>
    <col min="2050" max="2050" width="13.28515625" style="2" customWidth="1"/>
    <col min="2051" max="2051" width="17.140625" style="2" customWidth="1"/>
    <col min="2052" max="2052" width="43.28515625" style="2" customWidth="1"/>
    <col min="2053" max="2053" width="15" style="2" customWidth="1"/>
    <col min="2054" max="2054" width="18.28515625" style="2" customWidth="1"/>
    <col min="2055" max="2055" width="15.28515625" style="2" customWidth="1"/>
    <col min="2056" max="2056" width="19.85546875" style="2" customWidth="1"/>
    <col min="2057" max="2057" width="16.5703125" style="2" bestFit="1" customWidth="1"/>
    <col min="2058" max="2058" width="22" style="2" bestFit="1" customWidth="1"/>
    <col min="2059" max="2059" width="13.140625" style="2" bestFit="1" customWidth="1"/>
    <col min="2060" max="2060" width="22" style="2" bestFit="1" customWidth="1"/>
    <col min="2061" max="2061" width="16.42578125" style="2" bestFit="1" customWidth="1"/>
    <col min="2062" max="2062" width="17.85546875" style="2" bestFit="1" customWidth="1"/>
    <col min="2063" max="2304" width="9.140625" style="2"/>
    <col min="2305" max="2305" width="5.5703125" style="2" customWidth="1"/>
    <col min="2306" max="2306" width="13.28515625" style="2" customWidth="1"/>
    <col min="2307" max="2307" width="17.140625" style="2" customWidth="1"/>
    <col min="2308" max="2308" width="43.28515625" style="2" customWidth="1"/>
    <col min="2309" max="2309" width="15" style="2" customWidth="1"/>
    <col min="2310" max="2310" width="18.28515625" style="2" customWidth="1"/>
    <col min="2311" max="2311" width="15.28515625" style="2" customWidth="1"/>
    <col min="2312" max="2312" width="19.85546875" style="2" customWidth="1"/>
    <col min="2313" max="2313" width="16.5703125" style="2" bestFit="1" customWidth="1"/>
    <col min="2314" max="2314" width="22" style="2" bestFit="1" customWidth="1"/>
    <col min="2315" max="2315" width="13.140625" style="2" bestFit="1" customWidth="1"/>
    <col min="2316" max="2316" width="22" style="2" bestFit="1" customWidth="1"/>
    <col min="2317" max="2317" width="16.42578125" style="2" bestFit="1" customWidth="1"/>
    <col min="2318" max="2318" width="17.85546875" style="2" bestFit="1" customWidth="1"/>
    <col min="2319" max="2560" width="9.140625" style="2"/>
    <col min="2561" max="2561" width="5.5703125" style="2" customWidth="1"/>
    <col min="2562" max="2562" width="13.28515625" style="2" customWidth="1"/>
    <col min="2563" max="2563" width="17.140625" style="2" customWidth="1"/>
    <col min="2564" max="2564" width="43.28515625" style="2" customWidth="1"/>
    <col min="2565" max="2565" width="15" style="2" customWidth="1"/>
    <col min="2566" max="2566" width="18.28515625" style="2" customWidth="1"/>
    <col min="2567" max="2567" width="15.28515625" style="2" customWidth="1"/>
    <col min="2568" max="2568" width="19.85546875" style="2" customWidth="1"/>
    <col min="2569" max="2569" width="16.5703125" style="2" bestFit="1" customWidth="1"/>
    <col min="2570" max="2570" width="22" style="2" bestFit="1" customWidth="1"/>
    <col min="2571" max="2571" width="13.140625" style="2" bestFit="1" customWidth="1"/>
    <col min="2572" max="2572" width="22" style="2" bestFit="1" customWidth="1"/>
    <col min="2573" max="2573" width="16.42578125" style="2" bestFit="1" customWidth="1"/>
    <col min="2574" max="2574" width="17.85546875" style="2" bestFit="1" customWidth="1"/>
    <col min="2575" max="2816" width="9.140625" style="2"/>
    <col min="2817" max="2817" width="5.5703125" style="2" customWidth="1"/>
    <col min="2818" max="2818" width="13.28515625" style="2" customWidth="1"/>
    <col min="2819" max="2819" width="17.140625" style="2" customWidth="1"/>
    <col min="2820" max="2820" width="43.28515625" style="2" customWidth="1"/>
    <col min="2821" max="2821" width="15" style="2" customWidth="1"/>
    <col min="2822" max="2822" width="18.28515625" style="2" customWidth="1"/>
    <col min="2823" max="2823" width="15.28515625" style="2" customWidth="1"/>
    <col min="2824" max="2824" width="19.85546875" style="2" customWidth="1"/>
    <col min="2825" max="2825" width="16.5703125" style="2" bestFit="1" customWidth="1"/>
    <col min="2826" max="2826" width="22" style="2" bestFit="1" customWidth="1"/>
    <col min="2827" max="2827" width="13.140625" style="2" bestFit="1" customWidth="1"/>
    <col min="2828" max="2828" width="22" style="2" bestFit="1" customWidth="1"/>
    <col min="2829" max="2829" width="16.42578125" style="2" bestFit="1" customWidth="1"/>
    <col min="2830" max="2830" width="17.85546875" style="2" bestFit="1" customWidth="1"/>
    <col min="2831" max="3072" width="9.140625" style="2"/>
    <col min="3073" max="3073" width="5.5703125" style="2" customWidth="1"/>
    <col min="3074" max="3074" width="13.28515625" style="2" customWidth="1"/>
    <col min="3075" max="3075" width="17.140625" style="2" customWidth="1"/>
    <col min="3076" max="3076" width="43.28515625" style="2" customWidth="1"/>
    <col min="3077" max="3077" width="15" style="2" customWidth="1"/>
    <col min="3078" max="3078" width="18.28515625" style="2" customWidth="1"/>
    <col min="3079" max="3079" width="15.28515625" style="2" customWidth="1"/>
    <col min="3080" max="3080" width="19.85546875" style="2" customWidth="1"/>
    <col min="3081" max="3081" width="16.5703125" style="2" bestFit="1" customWidth="1"/>
    <col min="3082" max="3082" width="22" style="2" bestFit="1" customWidth="1"/>
    <col min="3083" max="3083" width="13.140625" style="2" bestFit="1" customWidth="1"/>
    <col min="3084" max="3084" width="22" style="2" bestFit="1" customWidth="1"/>
    <col min="3085" max="3085" width="16.42578125" style="2" bestFit="1" customWidth="1"/>
    <col min="3086" max="3086" width="17.85546875" style="2" bestFit="1" customWidth="1"/>
    <col min="3087" max="3328" width="9.140625" style="2"/>
    <col min="3329" max="3329" width="5.5703125" style="2" customWidth="1"/>
    <col min="3330" max="3330" width="13.28515625" style="2" customWidth="1"/>
    <col min="3331" max="3331" width="17.140625" style="2" customWidth="1"/>
    <col min="3332" max="3332" width="43.28515625" style="2" customWidth="1"/>
    <col min="3333" max="3333" width="15" style="2" customWidth="1"/>
    <col min="3334" max="3334" width="18.28515625" style="2" customWidth="1"/>
    <col min="3335" max="3335" width="15.28515625" style="2" customWidth="1"/>
    <col min="3336" max="3336" width="19.85546875" style="2" customWidth="1"/>
    <col min="3337" max="3337" width="16.5703125" style="2" bestFit="1" customWidth="1"/>
    <col min="3338" max="3338" width="22" style="2" bestFit="1" customWidth="1"/>
    <col min="3339" max="3339" width="13.140625" style="2" bestFit="1" customWidth="1"/>
    <col min="3340" max="3340" width="22" style="2" bestFit="1" customWidth="1"/>
    <col min="3341" max="3341" width="16.42578125" style="2" bestFit="1" customWidth="1"/>
    <col min="3342" max="3342" width="17.85546875" style="2" bestFit="1" customWidth="1"/>
    <col min="3343" max="3584" width="9.140625" style="2"/>
    <col min="3585" max="3585" width="5.5703125" style="2" customWidth="1"/>
    <col min="3586" max="3586" width="13.28515625" style="2" customWidth="1"/>
    <col min="3587" max="3587" width="17.140625" style="2" customWidth="1"/>
    <col min="3588" max="3588" width="43.28515625" style="2" customWidth="1"/>
    <col min="3589" max="3589" width="15" style="2" customWidth="1"/>
    <col min="3590" max="3590" width="18.28515625" style="2" customWidth="1"/>
    <col min="3591" max="3591" width="15.28515625" style="2" customWidth="1"/>
    <col min="3592" max="3592" width="19.85546875" style="2" customWidth="1"/>
    <col min="3593" max="3593" width="16.5703125" style="2" bestFit="1" customWidth="1"/>
    <col min="3594" max="3594" width="22" style="2" bestFit="1" customWidth="1"/>
    <col min="3595" max="3595" width="13.140625" style="2" bestFit="1" customWidth="1"/>
    <col min="3596" max="3596" width="22" style="2" bestFit="1" customWidth="1"/>
    <col min="3597" max="3597" width="16.42578125" style="2" bestFit="1" customWidth="1"/>
    <col min="3598" max="3598" width="17.85546875" style="2" bestFit="1" customWidth="1"/>
    <col min="3599" max="3840" width="9.140625" style="2"/>
    <col min="3841" max="3841" width="5.5703125" style="2" customWidth="1"/>
    <col min="3842" max="3842" width="13.28515625" style="2" customWidth="1"/>
    <col min="3843" max="3843" width="17.140625" style="2" customWidth="1"/>
    <col min="3844" max="3844" width="43.28515625" style="2" customWidth="1"/>
    <col min="3845" max="3845" width="15" style="2" customWidth="1"/>
    <col min="3846" max="3846" width="18.28515625" style="2" customWidth="1"/>
    <col min="3847" max="3847" width="15.28515625" style="2" customWidth="1"/>
    <col min="3848" max="3848" width="19.85546875" style="2" customWidth="1"/>
    <col min="3849" max="3849" width="16.5703125" style="2" bestFit="1" customWidth="1"/>
    <col min="3850" max="3850" width="22" style="2" bestFit="1" customWidth="1"/>
    <col min="3851" max="3851" width="13.140625" style="2" bestFit="1" customWidth="1"/>
    <col min="3852" max="3852" width="22" style="2" bestFit="1" customWidth="1"/>
    <col min="3853" max="3853" width="16.42578125" style="2" bestFit="1" customWidth="1"/>
    <col min="3854" max="3854" width="17.85546875" style="2" bestFit="1" customWidth="1"/>
    <col min="3855" max="4096" width="9.140625" style="2"/>
    <col min="4097" max="4097" width="5.5703125" style="2" customWidth="1"/>
    <col min="4098" max="4098" width="13.28515625" style="2" customWidth="1"/>
    <col min="4099" max="4099" width="17.140625" style="2" customWidth="1"/>
    <col min="4100" max="4100" width="43.28515625" style="2" customWidth="1"/>
    <col min="4101" max="4101" width="15" style="2" customWidth="1"/>
    <col min="4102" max="4102" width="18.28515625" style="2" customWidth="1"/>
    <col min="4103" max="4103" width="15.28515625" style="2" customWidth="1"/>
    <col min="4104" max="4104" width="19.85546875" style="2" customWidth="1"/>
    <col min="4105" max="4105" width="16.5703125" style="2" bestFit="1" customWidth="1"/>
    <col min="4106" max="4106" width="22" style="2" bestFit="1" customWidth="1"/>
    <col min="4107" max="4107" width="13.140625" style="2" bestFit="1" customWidth="1"/>
    <col min="4108" max="4108" width="22" style="2" bestFit="1" customWidth="1"/>
    <col min="4109" max="4109" width="16.42578125" style="2" bestFit="1" customWidth="1"/>
    <col min="4110" max="4110" width="17.85546875" style="2" bestFit="1" customWidth="1"/>
    <col min="4111" max="4352" width="9.140625" style="2"/>
    <col min="4353" max="4353" width="5.5703125" style="2" customWidth="1"/>
    <col min="4354" max="4354" width="13.28515625" style="2" customWidth="1"/>
    <col min="4355" max="4355" width="17.140625" style="2" customWidth="1"/>
    <col min="4356" max="4356" width="43.28515625" style="2" customWidth="1"/>
    <col min="4357" max="4357" width="15" style="2" customWidth="1"/>
    <col min="4358" max="4358" width="18.28515625" style="2" customWidth="1"/>
    <col min="4359" max="4359" width="15.28515625" style="2" customWidth="1"/>
    <col min="4360" max="4360" width="19.85546875" style="2" customWidth="1"/>
    <col min="4361" max="4361" width="16.5703125" style="2" bestFit="1" customWidth="1"/>
    <col min="4362" max="4362" width="22" style="2" bestFit="1" customWidth="1"/>
    <col min="4363" max="4363" width="13.140625" style="2" bestFit="1" customWidth="1"/>
    <col min="4364" max="4364" width="22" style="2" bestFit="1" customWidth="1"/>
    <col min="4365" max="4365" width="16.42578125" style="2" bestFit="1" customWidth="1"/>
    <col min="4366" max="4366" width="17.85546875" style="2" bestFit="1" customWidth="1"/>
    <col min="4367" max="4608" width="9.140625" style="2"/>
    <col min="4609" max="4609" width="5.5703125" style="2" customWidth="1"/>
    <col min="4610" max="4610" width="13.28515625" style="2" customWidth="1"/>
    <col min="4611" max="4611" width="17.140625" style="2" customWidth="1"/>
    <col min="4612" max="4612" width="43.28515625" style="2" customWidth="1"/>
    <col min="4613" max="4613" width="15" style="2" customWidth="1"/>
    <col min="4614" max="4614" width="18.28515625" style="2" customWidth="1"/>
    <col min="4615" max="4615" width="15.28515625" style="2" customWidth="1"/>
    <col min="4616" max="4616" width="19.85546875" style="2" customWidth="1"/>
    <col min="4617" max="4617" width="16.5703125" style="2" bestFit="1" customWidth="1"/>
    <col min="4618" max="4618" width="22" style="2" bestFit="1" customWidth="1"/>
    <col min="4619" max="4619" width="13.140625" style="2" bestFit="1" customWidth="1"/>
    <col min="4620" max="4620" width="22" style="2" bestFit="1" customWidth="1"/>
    <col min="4621" max="4621" width="16.42578125" style="2" bestFit="1" customWidth="1"/>
    <col min="4622" max="4622" width="17.85546875" style="2" bestFit="1" customWidth="1"/>
    <col min="4623" max="4864" width="9.140625" style="2"/>
    <col min="4865" max="4865" width="5.5703125" style="2" customWidth="1"/>
    <col min="4866" max="4866" width="13.28515625" style="2" customWidth="1"/>
    <col min="4867" max="4867" width="17.140625" style="2" customWidth="1"/>
    <col min="4868" max="4868" width="43.28515625" style="2" customWidth="1"/>
    <col min="4869" max="4869" width="15" style="2" customWidth="1"/>
    <col min="4870" max="4870" width="18.28515625" style="2" customWidth="1"/>
    <col min="4871" max="4871" width="15.28515625" style="2" customWidth="1"/>
    <col min="4872" max="4872" width="19.85546875" style="2" customWidth="1"/>
    <col min="4873" max="4873" width="16.5703125" style="2" bestFit="1" customWidth="1"/>
    <col min="4874" max="4874" width="22" style="2" bestFit="1" customWidth="1"/>
    <col min="4875" max="4875" width="13.140625" style="2" bestFit="1" customWidth="1"/>
    <col min="4876" max="4876" width="22" style="2" bestFit="1" customWidth="1"/>
    <col min="4877" max="4877" width="16.42578125" style="2" bestFit="1" customWidth="1"/>
    <col min="4878" max="4878" width="17.85546875" style="2" bestFit="1" customWidth="1"/>
    <col min="4879" max="5120" width="9.140625" style="2"/>
    <col min="5121" max="5121" width="5.5703125" style="2" customWidth="1"/>
    <col min="5122" max="5122" width="13.28515625" style="2" customWidth="1"/>
    <col min="5123" max="5123" width="17.140625" style="2" customWidth="1"/>
    <col min="5124" max="5124" width="43.28515625" style="2" customWidth="1"/>
    <col min="5125" max="5125" width="15" style="2" customWidth="1"/>
    <col min="5126" max="5126" width="18.28515625" style="2" customWidth="1"/>
    <col min="5127" max="5127" width="15.28515625" style="2" customWidth="1"/>
    <col min="5128" max="5128" width="19.85546875" style="2" customWidth="1"/>
    <col min="5129" max="5129" width="16.5703125" style="2" bestFit="1" customWidth="1"/>
    <col min="5130" max="5130" width="22" style="2" bestFit="1" customWidth="1"/>
    <col min="5131" max="5131" width="13.140625" style="2" bestFit="1" customWidth="1"/>
    <col min="5132" max="5132" width="22" style="2" bestFit="1" customWidth="1"/>
    <col min="5133" max="5133" width="16.42578125" style="2" bestFit="1" customWidth="1"/>
    <col min="5134" max="5134" width="17.85546875" style="2" bestFit="1" customWidth="1"/>
    <col min="5135" max="5376" width="9.140625" style="2"/>
    <col min="5377" max="5377" width="5.5703125" style="2" customWidth="1"/>
    <col min="5378" max="5378" width="13.28515625" style="2" customWidth="1"/>
    <col min="5379" max="5379" width="17.140625" style="2" customWidth="1"/>
    <col min="5380" max="5380" width="43.28515625" style="2" customWidth="1"/>
    <col min="5381" max="5381" width="15" style="2" customWidth="1"/>
    <col min="5382" max="5382" width="18.28515625" style="2" customWidth="1"/>
    <col min="5383" max="5383" width="15.28515625" style="2" customWidth="1"/>
    <col min="5384" max="5384" width="19.85546875" style="2" customWidth="1"/>
    <col min="5385" max="5385" width="16.5703125" style="2" bestFit="1" customWidth="1"/>
    <col min="5386" max="5386" width="22" style="2" bestFit="1" customWidth="1"/>
    <col min="5387" max="5387" width="13.140625" style="2" bestFit="1" customWidth="1"/>
    <col min="5388" max="5388" width="22" style="2" bestFit="1" customWidth="1"/>
    <col min="5389" max="5389" width="16.42578125" style="2" bestFit="1" customWidth="1"/>
    <col min="5390" max="5390" width="17.85546875" style="2" bestFit="1" customWidth="1"/>
    <col min="5391" max="5632" width="9.140625" style="2"/>
    <col min="5633" max="5633" width="5.5703125" style="2" customWidth="1"/>
    <col min="5634" max="5634" width="13.28515625" style="2" customWidth="1"/>
    <col min="5635" max="5635" width="17.140625" style="2" customWidth="1"/>
    <col min="5636" max="5636" width="43.28515625" style="2" customWidth="1"/>
    <col min="5637" max="5637" width="15" style="2" customWidth="1"/>
    <col min="5638" max="5638" width="18.28515625" style="2" customWidth="1"/>
    <col min="5639" max="5639" width="15.28515625" style="2" customWidth="1"/>
    <col min="5640" max="5640" width="19.85546875" style="2" customWidth="1"/>
    <col min="5641" max="5641" width="16.5703125" style="2" bestFit="1" customWidth="1"/>
    <col min="5642" max="5642" width="22" style="2" bestFit="1" customWidth="1"/>
    <col min="5643" max="5643" width="13.140625" style="2" bestFit="1" customWidth="1"/>
    <col min="5644" max="5644" width="22" style="2" bestFit="1" customWidth="1"/>
    <col min="5645" max="5645" width="16.42578125" style="2" bestFit="1" customWidth="1"/>
    <col min="5646" max="5646" width="17.85546875" style="2" bestFit="1" customWidth="1"/>
    <col min="5647" max="5888" width="9.140625" style="2"/>
    <col min="5889" max="5889" width="5.5703125" style="2" customWidth="1"/>
    <col min="5890" max="5890" width="13.28515625" style="2" customWidth="1"/>
    <col min="5891" max="5891" width="17.140625" style="2" customWidth="1"/>
    <col min="5892" max="5892" width="43.28515625" style="2" customWidth="1"/>
    <col min="5893" max="5893" width="15" style="2" customWidth="1"/>
    <col min="5894" max="5894" width="18.28515625" style="2" customWidth="1"/>
    <col min="5895" max="5895" width="15.28515625" style="2" customWidth="1"/>
    <col min="5896" max="5896" width="19.85546875" style="2" customWidth="1"/>
    <col min="5897" max="5897" width="16.5703125" style="2" bestFit="1" customWidth="1"/>
    <col min="5898" max="5898" width="22" style="2" bestFit="1" customWidth="1"/>
    <col min="5899" max="5899" width="13.140625" style="2" bestFit="1" customWidth="1"/>
    <col min="5900" max="5900" width="22" style="2" bestFit="1" customWidth="1"/>
    <col min="5901" max="5901" width="16.42578125" style="2" bestFit="1" customWidth="1"/>
    <col min="5902" max="5902" width="17.85546875" style="2" bestFit="1" customWidth="1"/>
    <col min="5903" max="6144" width="9.140625" style="2"/>
    <col min="6145" max="6145" width="5.5703125" style="2" customWidth="1"/>
    <col min="6146" max="6146" width="13.28515625" style="2" customWidth="1"/>
    <col min="6147" max="6147" width="17.140625" style="2" customWidth="1"/>
    <col min="6148" max="6148" width="43.28515625" style="2" customWidth="1"/>
    <col min="6149" max="6149" width="15" style="2" customWidth="1"/>
    <col min="6150" max="6150" width="18.28515625" style="2" customWidth="1"/>
    <col min="6151" max="6151" width="15.28515625" style="2" customWidth="1"/>
    <col min="6152" max="6152" width="19.85546875" style="2" customWidth="1"/>
    <col min="6153" max="6153" width="16.5703125" style="2" bestFit="1" customWidth="1"/>
    <col min="6154" max="6154" width="22" style="2" bestFit="1" customWidth="1"/>
    <col min="6155" max="6155" width="13.140625" style="2" bestFit="1" customWidth="1"/>
    <col min="6156" max="6156" width="22" style="2" bestFit="1" customWidth="1"/>
    <col min="6157" max="6157" width="16.42578125" style="2" bestFit="1" customWidth="1"/>
    <col min="6158" max="6158" width="17.85546875" style="2" bestFit="1" customWidth="1"/>
    <col min="6159" max="6400" width="9.140625" style="2"/>
    <col min="6401" max="6401" width="5.5703125" style="2" customWidth="1"/>
    <col min="6402" max="6402" width="13.28515625" style="2" customWidth="1"/>
    <col min="6403" max="6403" width="17.140625" style="2" customWidth="1"/>
    <col min="6404" max="6404" width="43.28515625" style="2" customWidth="1"/>
    <col min="6405" max="6405" width="15" style="2" customWidth="1"/>
    <col min="6406" max="6406" width="18.28515625" style="2" customWidth="1"/>
    <col min="6407" max="6407" width="15.28515625" style="2" customWidth="1"/>
    <col min="6408" max="6408" width="19.85546875" style="2" customWidth="1"/>
    <col min="6409" max="6409" width="16.5703125" style="2" bestFit="1" customWidth="1"/>
    <col min="6410" max="6410" width="22" style="2" bestFit="1" customWidth="1"/>
    <col min="6411" max="6411" width="13.140625" style="2" bestFit="1" customWidth="1"/>
    <col min="6412" max="6412" width="22" style="2" bestFit="1" customWidth="1"/>
    <col min="6413" max="6413" width="16.42578125" style="2" bestFit="1" customWidth="1"/>
    <col min="6414" max="6414" width="17.85546875" style="2" bestFit="1" customWidth="1"/>
    <col min="6415" max="6656" width="9.140625" style="2"/>
    <col min="6657" max="6657" width="5.5703125" style="2" customWidth="1"/>
    <col min="6658" max="6658" width="13.28515625" style="2" customWidth="1"/>
    <col min="6659" max="6659" width="17.140625" style="2" customWidth="1"/>
    <col min="6660" max="6660" width="43.28515625" style="2" customWidth="1"/>
    <col min="6661" max="6661" width="15" style="2" customWidth="1"/>
    <col min="6662" max="6662" width="18.28515625" style="2" customWidth="1"/>
    <col min="6663" max="6663" width="15.28515625" style="2" customWidth="1"/>
    <col min="6664" max="6664" width="19.85546875" style="2" customWidth="1"/>
    <col min="6665" max="6665" width="16.5703125" style="2" bestFit="1" customWidth="1"/>
    <col min="6666" max="6666" width="22" style="2" bestFit="1" customWidth="1"/>
    <col min="6667" max="6667" width="13.140625" style="2" bestFit="1" customWidth="1"/>
    <col min="6668" max="6668" width="22" style="2" bestFit="1" customWidth="1"/>
    <col min="6669" max="6669" width="16.42578125" style="2" bestFit="1" customWidth="1"/>
    <col min="6670" max="6670" width="17.85546875" style="2" bestFit="1" customWidth="1"/>
    <col min="6671" max="6912" width="9.140625" style="2"/>
    <col min="6913" max="6913" width="5.5703125" style="2" customWidth="1"/>
    <col min="6914" max="6914" width="13.28515625" style="2" customWidth="1"/>
    <col min="6915" max="6915" width="17.140625" style="2" customWidth="1"/>
    <col min="6916" max="6916" width="43.28515625" style="2" customWidth="1"/>
    <col min="6917" max="6917" width="15" style="2" customWidth="1"/>
    <col min="6918" max="6918" width="18.28515625" style="2" customWidth="1"/>
    <col min="6919" max="6919" width="15.28515625" style="2" customWidth="1"/>
    <col min="6920" max="6920" width="19.85546875" style="2" customWidth="1"/>
    <col min="6921" max="6921" width="16.5703125" style="2" bestFit="1" customWidth="1"/>
    <col min="6922" max="6922" width="22" style="2" bestFit="1" customWidth="1"/>
    <col min="6923" max="6923" width="13.140625" style="2" bestFit="1" customWidth="1"/>
    <col min="6924" max="6924" width="22" style="2" bestFit="1" customWidth="1"/>
    <col min="6925" max="6925" width="16.42578125" style="2" bestFit="1" customWidth="1"/>
    <col min="6926" max="6926" width="17.85546875" style="2" bestFit="1" customWidth="1"/>
    <col min="6927" max="7168" width="9.140625" style="2"/>
    <col min="7169" max="7169" width="5.5703125" style="2" customWidth="1"/>
    <col min="7170" max="7170" width="13.28515625" style="2" customWidth="1"/>
    <col min="7171" max="7171" width="17.140625" style="2" customWidth="1"/>
    <col min="7172" max="7172" width="43.28515625" style="2" customWidth="1"/>
    <col min="7173" max="7173" width="15" style="2" customWidth="1"/>
    <col min="7174" max="7174" width="18.28515625" style="2" customWidth="1"/>
    <col min="7175" max="7175" width="15.28515625" style="2" customWidth="1"/>
    <col min="7176" max="7176" width="19.85546875" style="2" customWidth="1"/>
    <col min="7177" max="7177" width="16.5703125" style="2" bestFit="1" customWidth="1"/>
    <col min="7178" max="7178" width="22" style="2" bestFit="1" customWidth="1"/>
    <col min="7179" max="7179" width="13.140625" style="2" bestFit="1" customWidth="1"/>
    <col min="7180" max="7180" width="22" style="2" bestFit="1" customWidth="1"/>
    <col min="7181" max="7181" width="16.42578125" style="2" bestFit="1" customWidth="1"/>
    <col min="7182" max="7182" width="17.85546875" style="2" bestFit="1" customWidth="1"/>
    <col min="7183" max="7424" width="9.140625" style="2"/>
    <col min="7425" max="7425" width="5.5703125" style="2" customWidth="1"/>
    <col min="7426" max="7426" width="13.28515625" style="2" customWidth="1"/>
    <col min="7427" max="7427" width="17.140625" style="2" customWidth="1"/>
    <col min="7428" max="7428" width="43.28515625" style="2" customWidth="1"/>
    <col min="7429" max="7429" width="15" style="2" customWidth="1"/>
    <col min="7430" max="7430" width="18.28515625" style="2" customWidth="1"/>
    <col min="7431" max="7431" width="15.28515625" style="2" customWidth="1"/>
    <col min="7432" max="7432" width="19.85546875" style="2" customWidth="1"/>
    <col min="7433" max="7433" width="16.5703125" style="2" bestFit="1" customWidth="1"/>
    <col min="7434" max="7434" width="22" style="2" bestFit="1" customWidth="1"/>
    <col min="7435" max="7435" width="13.140625" style="2" bestFit="1" customWidth="1"/>
    <col min="7436" max="7436" width="22" style="2" bestFit="1" customWidth="1"/>
    <col min="7437" max="7437" width="16.42578125" style="2" bestFit="1" customWidth="1"/>
    <col min="7438" max="7438" width="17.85546875" style="2" bestFit="1" customWidth="1"/>
    <col min="7439" max="7680" width="9.140625" style="2"/>
    <col min="7681" max="7681" width="5.5703125" style="2" customWidth="1"/>
    <col min="7682" max="7682" width="13.28515625" style="2" customWidth="1"/>
    <col min="7683" max="7683" width="17.140625" style="2" customWidth="1"/>
    <col min="7684" max="7684" width="43.28515625" style="2" customWidth="1"/>
    <col min="7685" max="7685" width="15" style="2" customWidth="1"/>
    <col min="7686" max="7686" width="18.28515625" style="2" customWidth="1"/>
    <col min="7687" max="7687" width="15.28515625" style="2" customWidth="1"/>
    <col min="7688" max="7688" width="19.85546875" style="2" customWidth="1"/>
    <col min="7689" max="7689" width="16.5703125" style="2" bestFit="1" customWidth="1"/>
    <col min="7690" max="7690" width="22" style="2" bestFit="1" customWidth="1"/>
    <col min="7691" max="7691" width="13.140625" style="2" bestFit="1" customWidth="1"/>
    <col min="7692" max="7692" width="22" style="2" bestFit="1" customWidth="1"/>
    <col min="7693" max="7693" width="16.42578125" style="2" bestFit="1" customWidth="1"/>
    <col min="7694" max="7694" width="17.85546875" style="2" bestFit="1" customWidth="1"/>
    <col min="7695" max="7936" width="9.140625" style="2"/>
    <col min="7937" max="7937" width="5.5703125" style="2" customWidth="1"/>
    <col min="7938" max="7938" width="13.28515625" style="2" customWidth="1"/>
    <col min="7939" max="7939" width="17.140625" style="2" customWidth="1"/>
    <col min="7940" max="7940" width="43.28515625" style="2" customWidth="1"/>
    <col min="7941" max="7941" width="15" style="2" customWidth="1"/>
    <col min="7942" max="7942" width="18.28515625" style="2" customWidth="1"/>
    <col min="7943" max="7943" width="15.28515625" style="2" customWidth="1"/>
    <col min="7944" max="7944" width="19.85546875" style="2" customWidth="1"/>
    <col min="7945" max="7945" width="16.5703125" style="2" bestFit="1" customWidth="1"/>
    <col min="7946" max="7946" width="22" style="2" bestFit="1" customWidth="1"/>
    <col min="7947" max="7947" width="13.140625" style="2" bestFit="1" customWidth="1"/>
    <col min="7948" max="7948" width="22" style="2" bestFit="1" customWidth="1"/>
    <col min="7949" max="7949" width="16.42578125" style="2" bestFit="1" customWidth="1"/>
    <col min="7950" max="7950" width="17.85546875" style="2" bestFit="1" customWidth="1"/>
    <col min="7951" max="8192" width="9.140625" style="2"/>
    <col min="8193" max="8193" width="5.5703125" style="2" customWidth="1"/>
    <col min="8194" max="8194" width="13.28515625" style="2" customWidth="1"/>
    <col min="8195" max="8195" width="17.140625" style="2" customWidth="1"/>
    <col min="8196" max="8196" width="43.28515625" style="2" customWidth="1"/>
    <col min="8197" max="8197" width="15" style="2" customWidth="1"/>
    <col min="8198" max="8198" width="18.28515625" style="2" customWidth="1"/>
    <col min="8199" max="8199" width="15.28515625" style="2" customWidth="1"/>
    <col min="8200" max="8200" width="19.85546875" style="2" customWidth="1"/>
    <col min="8201" max="8201" width="16.5703125" style="2" bestFit="1" customWidth="1"/>
    <col min="8202" max="8202" width="22" style="2" bestFit="1" customWidth="1"/>
    <col min="8203" max="8203" width="13.140625" style="2" bestFit="1" customWidth="1"/>
    <col min="8204" max="8204" width="22" style="2" bestFit="1" customWidth="1"/>
    <col min="8205" max="8205" width="16.42578125" style="2" bestFit="1" customWidth="1"/>
    <col min="8206" max="8206" width="17.85546875" style="2" bestFit="1" customWidth="1"/>
    <col min="8207" max="8448" width="9.140625" style="2"/>
    <col min="8449" max="8449" width="5.5703125" style="2" customWidth="1"/>
    <col min="8450" max="8450" width="13.28515625" style="2" customWidth="1"/>
    <col min="8451" max="8451" width="17.140625" style="2" customWidth="1"/>
    <col min="8452" max="8452" width="43.28515625" style="2" customWidth="1"/>
    <col min="8453" max="8453" width="15" style="2" customWidth="1"/>
    <col min="8454" max="8454" width="18.28515625" style="2" customWidth="1"/>
    <col min="8455" max="8455" width="15.28515625" style="2" customWidth="1"/>
    <col min="8456" max="8456" width="19.85546875" style="2" customWidth="1"/>
    <col min="8457" max="8457" width="16.5703125" style="2" bestFit="1" customWidth="1"/>
    <col min="8458" max="8458" width="22" style="2" bestFit="1" customWidth="1"/>
    <col min="8459" max="8459" width="13.140625" style="2" bestFit="1" customWidth="1"/>
    <col min="8460" max="8460" width="22" style="2" bestFit="1" customWidth="1"/>
    <col min="8461" max="8461" width="16.42578125" style="2" bestFit="1" customWidth="1"/>
    <col min="8462" max="8462" width="17.85546875" style="2" bestFit="1" customWidth="1"/>
    <col min="8463" max="8704" width="9.140625" style="2"/>
    <col min="8705" max="8705" width="5.5703125" style="2" customWidth="1"/>
    <col min="8706" max="8706" width="13.28515625" style="2" customWidth="1"/>
    <col min="8707" max="8707" width="17.140625" style="2" customWidth="1"/>
    <col min="8708" max="8708" width="43.28515625" style="2" customWidth="1"/>
    <col min="8709" max="8709" width="15" style="2" customWidth="1"/>
    <col min="8710" max="8710" width="18.28515625" style="2" customWidth="1"/>
    <col min="8711" max="8711" width="15.28515625" style="2" customWidth="1"/>
    <col min="8712" max="8712" width="19.85546875" style="2" customWidth="1"/>
    <col min="8713" max="8713" width="16.5703125" style="2" bestFit="1" customWidth="1"/>
    <col min="8714" max="8714" width="22" style="2" bestFit="1" customWidth="1"/>
    <col min="8715" max="8715" width="13.140625" style="2" bestFit="1" customWidth="1"/>
    <col min="8716" max="8716" width="22" style="2" bestFit="1" customWidth="1"/>
    <col min="8717" max="8717" width="16.42578125" style="2" bestFit="1" customWidth="1"/>
    <col min="8718" max="8718" width="17.85546875" style="2" bestFit="1" customWidth="1"/>
    <col min="8719" max="8960" width="9.140625" style="2"/>
    <col min="8961" max="8961" width="5.5703125" style="2" customWidth="1"/>
    <col min="8962" max="8962" width="13.28515625" style="2" customWidth="1"/>
    <col min="8963" max="8963" width="17.140625" style="2" customWidth="1"/>
    <col min="8964" max="8964" width="43.28515625" style="2" customWidth="1"/>
    <col min="8965" max="8965" width="15" style="2" customWidth="1"/>
    <col min="8966" max="8966" width="18.28515625" style="2" customWidth="1"/>
    <col min="8967" max="8967" width="15.28515625" style="2" customWidth="1"/>
    <col min="8968" max="8968" width="19.85546875" style="2" customWidth="1"/>
    <col min="8969" max="8969" width="16.5703125" style="2" bestFit="1" customWidth="1"/>
    <col min="8970" max="8970" width="22" style="2" bestFit="1" customWidth="1"/>
    <col min="8971" max="8971" width="13.140625" style="2" bestFit="1" customWidth="1"/>
    <col min="8972" max="8972" width="22" style="2" bestFit="1" customWidth="1"/>
    <col min="8973" max="8973" width="16.42578125" style="2" bestFit="1" customWidth="1"/>
    <col min="8974" max="8974" width="17.85546875" style="2" bestFit="1" customWidth="1"/>
    <col min="8975" max="9216" width="9.140625" style="2"/>
    <col min="9217" max="9217" width="5.5703125" style="2" customWidth="1"/>
    <col min="9218" max="9218" width="13.28515625" style="2" customWidth="1"/>
    <col min="9219" max="9219" width="17.140625" style="2" customWidth="1"/>
    <col min="9220" max="9220" width="43.28515625" style="2" customWidth="1"/>
    <col min="9221" max="9221" width="15" style="2" customWidth="1"/>
    <col min="9222" max="9222" width="18.28515625" style="2" customWidth="1"/>
    <col min="9223" max="9223" width="15.28515625" style="2" customWidth="1"/>
    <col min="9224" max="9224" width="19.85546875" style="2" customWidth="1"/>
    <col min="9225" max="9225" width="16.5703125" style="2" bestFit="1" customWidth="1"/>
    <col min="9226" max="9226" width="22" style="2" bestFit="1" customWidth="1"/>
    <col min="9227" max="9227" width="13.140625" style="2" bestFit="1" customWidth="1"/>
    <col min="9228" max="9228" width="22" style="2" bestFit="1" customWidth="1"/>
    <col min="9229" max="9229" width="16.42578125" style="2" bestFit="1" customWidth="1"/>
    <col min="9230" max="9230" width="17.85546875" style="2" bestFit="1" customWidth="1"/>
    <col min="9231" max="9472" width="9.140625" style="2"/>
    <col min="9473" max="9473" width="5.5703125" style="2" customWidth="1"/>
    <col min="9474" max="9474" width="13.28515625" style="2" customWidth="1"/>
    <col min="9475" max="9475" width="17.140625" style="2" customWidth="1"/>
    <col min="9476" max="9476" width="43.28515625" style="2" customWidth="1"/>
    <col min="9477" max="9477" width="15" style="2" customWidth="1"/>
    <col min="9478" max="9478" width="18.28515625" style="2" customWidth="1"/>
    <col min="9479" max="9479" width="15.28515625" style="2" customWidth="1"/>
    <col min="9480" max="9480" width="19.85546875" style="2" customWidth="1"/>
    <col min="9481" max="9481" width="16.5703125" style="2" bestFit="1" customWidth="1"/>
    <col min="9482" max="9482" width="22" style="2" bestFit="1" customWidth="1"/>
    <col min="9483" max="9483" width="13.140625" style="2" bestFit="1" customWidth="1"/>
    <col min="9484" max="9484" width="22" style="2" bestFit="1" customWidth="1"/>
    <col min="9485" max="9485" width="16.42578125" style="2" bestFit="1" customWidth="1"/>
    <col min="9486" max="9486" width="17.85546875" style="2" bestFit="1" customWidth="1"/>
    <col min="9487" max="9728" width="9.140625" style="2"/>
    <col min="9729" max="9729" width="5.5703125" style="2" customWidth="1"/>
    <col min="9730" max="9730" width="13.28515625" style="2" customWidth="1"/>
    <col min="9731" max="9731" width="17.140625" style="2" customWidth="1"/>
    <col min="9732" max="9732" width="43.28515625" style="2" customWidth="1"/>
    <col min="9733" max="9733" width="15" style="2" customWidth="1"/>
    <col min="9734" max="9734" width="18.28515625" style="2" customWidth="1"/>
    <col min="9735" max="9735" width="15.28515625" style="2" customWidth="1"/>
    <col min="9736" max="9736" width="19.85546875" style="2" customWidth="1"/>
    <col min="9737" max="9737" width="16.5703125" style="2" bestFit="1" customWidth="1"/>
    <col min="9738" max="9738" width="22" style="2" bestFit="1" customWidth="1"/>
    <col min="9739" max="9739" width="13.140625" style="2" bestFit="1" customWidth="1"/>
    <col min="9740" max="9740" width="22" style="2" bestFit="1" customWidth="1"/>
    <col min="9741" max="9741" width="16.42578125" style="2" bestFit="1" customWidth="1"/>
    <col min="9742" max="9742" width="17.85546875" style="2" bestFit="1" customWidth="1"/>
    <col min="9743" max="9984" width="9.140625" style="2"/>
    <col min="9985" max="9985" width="5.5703125" style="2" customWidth="1"/>
    <col min="9986" max="9986" width="13.28515625" style="2" customWidth="1"/>
    <col min="9987" max="9987" width="17.140625" style="2" customWidth="1"/>
    <col min="9988" max="9988" width="43.28515625" style="2" customWidth="1"/>
    <col min="9989" max="9989" width="15" style="2" customWidth="1"/>
    <col min="9990" max="9990" width="18.28515625" style="2" customWidth="1"/>
    <col min="9991" max="9991" width="15.28515625" style="2" customWidth="1"/>
    <col min="9992" max="9992" width="19.85546875" style="2" customWidth="1"/>
    <col min="9993" max="9993" width="16.5703125" style="2" bestFit="1" customWidth="1"/>
    <col min="9994" max="9994" width="22" style="2" bestFit="1" customWidth="1"/>
    <col min="9995" max="9995" width="13.140625" style="2" bestFit="1" customWidth="1"/>
    <col min="9996" max="9996" width="22" style="2" bestFit="1" customWidth="1"/>
    <col min="9997" max="9997" width="16.42578125" style="2" bestFit="1" customWidth="1"/>
    <col min="9998" max="9998" width="17.85546875" style="2" bestFit="1" customWidth="1"/>
    <col min="9999" max="10240" width="9.140625" style="2"/>
    <col min="10241" max="10241" width="5.5703125" style="2" customWidth="1"/>
    <col min="10242" max="10242" width="13.28515625" style="2" customWidth="1"/>
    <col min="10243" max="10243" width="17.140625" style="2" customWidth="1"/>
    <col min="10244" max="10244" width="43.28515625" style="2" customWidth="1"/>
    <col min="10245" max="10245" width="15" style="2" customWidth="1"/>
    <col min="10246" max="10246" width="18.28515625" style="2" customWidth="1"/>
    <col min="10247" max="10247" width="15.28515625" style="2" customWidth="1"/>
    <col min="10248" max="10248" width="19.85546875" style="2" customWidth="1"/>
    <col min="10249" max="10249" width="16.5703125" style="2" bestFit="1" customWidth="1"/>
    <col min="10250" max="10250" width="22" style="2" bestFit="1" customWidth="1"/>
    <col min="10251" max="10251" width="13.140625" style="2" bestFit="1" customWidth="1"/>
    <col min="10252" max="10252" width="22" style="2" bestFit="1" customWidth="1"/>
    <col min="10253" max="10253" width="16.42578125" style="2" bestFit="1" customWidth="1"/>
    <col min="10254" max="10254" width="17.85546875" style="2" bestFit="1" customWidth="1"/>
    <col min="10255" max="10496" width="9.140625" style="2"/>
    <col min="10497" max="10497" width="5.5703125" style="2" customWidth="1"/>
    <col min="10498" max="10498" width="13.28515625" style="2" customWidth="1"/>
    <col min="10499" max="10499" width="17.140625" style="2" customWidth="1"/>
    <col min="10500" max="10500" width="43.28515625" style="2" customWidth="1"/>
    <col min="10501" max="10501" width="15" style="2" customWidth="1"/>
    <col min="10502" max="10502" width="18.28515625" style="2" customWidth="1"/>
    <col min="10503" max="10503" width="15.28515625" style="2" customWidth="1"/>
    <col min="10504" max="10504" width="19.85546875" style="2" customWidth="1"/>
    <col min="10505" max="10505" width="16.5703125" style="2" bestFit="1" customWidth="1"/>
    <col min="10506" max="10506" width="22" style="2" bestFit="1" customWidth="1"/>
    <col min="10507" max="10507" width="13.140625" style="2" bestFit="1" customWidth="1"/>
    <col min="10508" max="10508" width="22" style="2" bestFit="1" customWidth="1"/>
    <col min="10509" max="10509" width="16.42578125" style="2" bestFit="1" customWidth="1"/>
    <col min="10510" max="10510" width="17.85546875" style="2" bestFit="1" customWidth="1"/>
    <col min="10511" max="10752" width="9.140625" style="2"/>
    <col min="10753" max="10753" width="5.5703125" style="2" customWidth="1"/>
    <col min="10754" max="10754" width="13.28515625" style="2" customWidth="1"/>
    <col min="10755" max="10755" width="17.140625" style="2" customWidth="1"/>
    <col min="10756" max="10756" width="43.28515625" style="2" customWidth="1"/>
    <col min="10757" max="10757" width="15" style="2" customWidth="1"/>
    <col min="10758" max="10758" width="18.28515625" style="2" customWidth="1"/>
    <col min="10759" max="10759" width="15.28515625" style="2" customWidth="1"/>
    <col min="10760" max="10760" width="19.85546875" style="2" customWidth="1"/>
    <col min="10761" max="10761" width="16.5703125" style="2" bestFit="1" customWidth="1"/>
    <col min="10762" max="10762" width="22" style="2" bestFit="1" customWidth="1"/>
    <col min="10763" max="10763" width="13.140625" style="2" bestFit="1" customWidth="1"/>
    <col min="10764" max="10764" width="22" style="2" bestFit="1" customWidth="1"/>
    <col min="10765" max="10765" width="16.42578125" style="2" bestFit="1" customWidth="1"/>
    <col min="10766" max="10766" width="17.85546875" style="2" bestFit="1" customWidth="1"/>
    <col min="10767" max="11008" width="9.140625" style="2"/>
    <col min="11009" max="11009" width="5.5703125" style="2" customWidth="1"/>
    <col min="11010" max="11010" width="13.28515625" style="2" customWidth="1"/>
    <col min="11011" max="11011" width="17.140625" style="2" customWidth="1"/>
    <col min="11012" max="11012" width="43.28515625" style="2" customWidth="1"/>
    <col min="11013" max="11013" width="15" style="2" customWidth="1"/>
    <col min="11014" max="11014" width="18.28515625" style="2" customWidth="1"/>
    <col min="11015" max="11015" width="15.28515625" style="2" customWidth="1"/>
    <col min="11016" max="11016" width="19.85546875" style="2" customWidth="1"/>
    <col min="11017" max="11017" width="16.5703125" style="2" bestFit="1" customWidth="1"/>
    <col min="11018" max="11018" width="22" style="2" bestFit="1" customWidth="1"/>
    <col min="11019" max="11019" width="13.140625" style="2" bestFit="1" customWidth="1"/>
    <col min="11020" max="11020" width="22" style="2" bestFit="1" customWidth="1"/>
    <col min="11021" max="11021" width="16.42578125" style="2" bestFit="1" customWidth="1"/>
    <col min="11022" max="11022" width="17.85546875" style="2" bestFit="1" customWidth="1"/>
    <col min="11023" max="11264" width="9.140625" style="2"/>
    <col min="11265" max="11265" width="5.5703125" style="2" customWidth="1"/>
    <col min="11266" max="11266" width="13.28515625" style="2" customWidth="1"/>
    <col min="11267" max="11267" width="17.140625" style="2" customWidth="1"/>
    <col min="11268" max="11268" width="43.28515625" style="2" customWidth="1"/>
    <col min="11269" max="11269" width="15" style="2" customWidth="1"/>
    <col min="11270" max="11270" width="18.28515625" style="2" customWidth="1"/>
    <col min="11271" max="11271" width="15.28515625" style="2" customWidth="1"/>
    <col min="11272" max="11272" width="19.85546875" style="2" customWidth="1"/>
    <col min="11273" max="11273" width="16.5703125" style="2" bestFit="1" customWidth="1"/>
    <col min="11274" max="11274" width="22" style="2" bestFit="1" customWidth="1"/>
    <col min="11275" max="11275" width="13.140625" style="2" bestFit="1" customWidth="1"/>
    <col min="11276" max="11276" width="22" style="2" bestFit="1" customWidth="1"/>
    <col min="11277" max="11277" width="16.42578125" style="2" bestFit="1" customWidth="1"/>
    <col min="11278" max="11278" width="17.85546875" style="2" bestFit="1" customWidth="1"/>
    <col min="11279" max="11520" width="9.140625" style="2"/>
    <col min="11521" max="11521" width="5.5703125" style="2" customWidth="1"/>
    <col min="11522" max="11522" width="13.28515625" style="2" customWidth="1"/>
    <col min="11523" max="11523" width="17.140625" style="2" customWidth="1"/>
    <col min="11524" max="11524" width="43.28515625" style="2" customWidth="1"/>
    <col min="11525" max="11525" width="15" style="2" customWidth="1"/>
    <col min="11526" max="11526" width="18.28515625" style="2" customWidth="1"/>
    <col min="11527" max="11527" width="15.28515625" style="2" customWidth="1"/>
    <col min="11528" max="11528" width="19.85546875" style="2" customWidth="1"/>
    <col min="11529" max="11529" width="16.5703125" style="2" bestFit="1" customWidth="1"/>
    <col min="11530" max="11530" width="22" style="2" bestFit="1" customWidth="1"/>
    <col min="11531" max="11531" width="13.140625" style="2" bestFit="1" customWidth="1"/>
    <col min="11532" max="11532" width="22" style="2" bestFit="1" customWidth="1"/>
    <col min="11533" max="11533" width="16.42578125" style="2" bestFit="1" customWidth="1"/>
    <col min="11534" max="11534" width="17.85546875" style="2" bestFit="1" customWidth="1"/>
    <col min="11535" max="11776" width="9.140625" style="2"/>
    <col min="11777" max="11777" width="5.5703125" style="2" customWidth="1"/>
    <col min="11778" max="11778" width="13.28515625" style="2" customWidth="1"/>
    <col min="11779" max="11779" width="17.140625" style="2" customWidth="1"/>
    <col min="11780" max="11780" width="43.28515625" style="2" customWidth="1"/>
    <col min="11781" max="11781" width="15" style="2" customWidth="1"/>
    <col min="11782" max="11782" width="18.28515625" style="2" customWidth="1"/>
    <col min="11783" max="11783" width="15.28515625" style="2" customWidth="1"/>
    <col min="11784" max="11784" width="19.85546875" style="2" customWidth="1"/>
    <col min="11785" max="11785" width="16.5703125" style="2" bestFit="1" customWidth="1"/>
    <col min="11786" max="11786" width="22" style="2" bestFit="1" customWidth="1"/>
    <col min="11787" max="11787" width="13.140625" style="2" bestFit="1" customWidth="1"/>
    <col min="11788" max="11788" width="22" style="2" bestFit="1" customWidth="1"/>
    <col min="11789" max="11789" width="16.42578125" style="2" bestFit="1" customWidth="1"/>
    <col min="11790" max="11790" width="17.85546875" style="2" bestFit="1" customWidth="1"/>
    <col min="11791" max="12032" width="9.140625" style="2"/>
    <col min="12033" max="12033" width="5.5703125" style="2" customWidth="1"/>
    <col min="12034" max="12034" width="13.28515625" style="2" customWidth="1"/>
    <col min="12035" max="12035" width="17.140625" style="2" customWidth="1"/>
    <col min="12036" max="12036" width="43.28515625" style="2" customWidth="1"/>
    <col min="12037" max="12037" width="15" style="2" customWidth="1"/>
    <col min="12038" max="12038" width="18.28515625" style="2" customWidth="1"/>
    <col min="12039" max="12039" width="15.28515625" style="2" customWidth="1"/>
    <col min="12040" max="12040" width="19.85546875" style="2" customWidth="1"/>
    <col min="12041" max="12041" width="16.5703125" style="2" bestFit="1" customWidth="1"/>
    <col min="12042" max="12042" width="22" style="2" bestFit="1" customWidth="1"/>
    <col min="12043" max="12043" width="13.140625" style="2" bestFit="1" customWidth="1"/>
    <col min="12044" max="12044" width="22" style="2" bestFit="1" customWidth="1"/>
    <col min="12045" max="12045" width="16.42578125" style="2" bestFit="1" customWidth="1"/>
    <col min="12046" max="12046" width="17.85546875" style="2" bestFit="1" customWidth="1"/>
    <col min="12047" max="12288" width="9.140625" style="2"/>
    <col min="12289" max="12289" width="5.5703125" style="2" customWidth="1"/>
    <col min="12290" max="12290" width="13.28515625" style="2" customWidth="1"/>
    <col min="12291" max="12291" width="17.140625" style="2" customWidth="1"/>
    <col min="12292" max="12292" width="43.28515625" style="2" customWidth="1"/>
    <col min="12293" max="12293" width="15" style="2" customWidth="1"/>
    <col min="12294" max="12294" width="18.28515625" style="2" customWidth="1"/>
    <col min="12295" max="12295" width="15.28515625" style="2" customWidth="1"/>
    <col min="12296" max="12296" width="19.85546875" style="2" customWidth="1"/>
    <col min="12297" max="12297" width="16.5703125" style="2" bestFit="1" customWidth="1"/>
    <col min="12298" max="12298" width="22" style="2" bestFit="1" customWidth="1"/>
    <col min="12299" max="12299" width="13.140625" style="2" bestFit="1" customWidth="1"/>
    <col min="12300" max="12300" width="22" style="2" bestFit="1" customWidth="1"/>
    <col min="12301" max="12301" width="16.42578125" style="2" bestFit="1" customWidth="1"/>
    <col min="12302" max="12302" width="17.85546875" style="2" bestFit="1" customWidth="1"/>
    <col min="12303" max="12544" width="9.140625" style="2"/>
    <col min="12545" max="12545" width="5.5703125" style="2" customWidth="1"/>
    <col min="12546" max="12546" width="13.28515625" style="2" customWidth="1"/>
    <col min="12547" max="12547" width="17.140625" style="2" customWidth="1"/>
    <col min="12548" max="12548" width="43.28515625" style="2" customWidth="1"/>
    <col min="12549" max="12549" width="15" style="2" customWidth="1"/>
    <col min="12550" max="12550" width="18.28515625" style="2" customWidth="1"/>
    <col min="12551" max="12551" width="15.28515625" style="2" customWidth="1"/>
    <col min="12552" max="12552" width="19.85546875" style="2" customWidth="1"/>
    <col min="12553" max="12553" width="16.5703125" style="2" bestFit="1" customWidth="1"/>
    <col min="12554" max="12554" width="22" style="2" bestFit="1" customWidth="1"/>
    <col min="12555" max="12555" width="13.140625" style="2" bestFit="1" customWidth="1"/>
    <col min="12556" max="12556" width="22" style="2" bestFit="1" customWidth="1"/>
    <col min="12557" max="12557" width="16.42578125" style="2" bestFit="1" customWidth="1"/>
    <col min="12558" max="12558" width="17.85546875" style="2" bestFit="1" customWidth="1"/>
    <col min="12559" max="12800" width="9.140625" style="2"/>
    <col min="12801" max="12801" width="5.5703125" style="2" customWidth="1"/>
    <col min="12802" max="12802" width="13.28515625" style="2" customWidth="1"/>
    <col min="12803" max="12803" width="17.140625" style="2" customWidth="1"/>
    <col min="12804" max="12804" width="43.28515625" style="2" customWidth="1"/>
    <col min="12805" max="12805" width="15" style="2" customWidth="1"/>
    <col min="12806" max="12806" width="18.28515625" style="2" customWidth="1"/>
    <col min="12807" max="12807" width="15.28515625" style="2" customWidth="1"/>
    <col min="12808" max="12808" width="19.85546875" style="2" customWidth="1"/>
    <col min="12809" max="12809" width="16.5703125" style="2" bestFit="1" customWidth="1"/>
    <col min="12810" max="12810" width="22" style="2" bestFit="1" customWidth="1"/>
    <col min="12811" max="12811" width="13.140625" style="2" bestFit="1" customWidth="1"/>
    <col min="12812" max="12812" width="22" style="2" bestFit="1" customWidth="1"/>
    <col min="12813" max="12813" width="16.42578125" style="2" bestFit="1" customWidth="1"/>
    <col min="12814" max="12814" width="17.85546875" style="2" bestFit="1" customWidth="1"/>
    <col min="12815" max="13056" width="9.140625" style="2"/>
    <col min="13057" max="13057" width="5.5703125" style="2" customWidth="1"/>
    <col min="13058" max="13058" width="13.28515625" style="2" customWidth="1"/>
    <col min="13059" max="13059" width="17.140625" style="2" customWidth="1"/>
    <col min="13060" max="13060" width="43.28515625" style="2" customWidth="1"/>
    <col min="13061" max="13061" width="15" style="2" customWidth="1"/>
    <col min="13062" max="13062" width="18.28515625" style="2" customWidth="1"/>
    <col min="13063" max="13063" width="15.28515625" style="2" customWidth="1"/>
    <col min="13064" max="13064" width="19.85546875" style="2" customWidth="1"/>
    <col min="13065" max="13065" width="16.5703125" style="2" bestFit="1" customWidth="1"/>
    <col min="13066" max="13066" width="22" style="2" bestFit="1" customWidth="1"/>
    <col min="13067" max="13067" width="13.140625" style="2" bestFit="1" customWidth="1"/>
    <col min="13068" max="13068" width="22" style="2" bestFit="1" customWidth="1"/>
    <col min="13069" max="13069" width="16.42578125" style="2" bestFit="1" customWidth="1"/>
    <col min="13070" max="13070" width="17.85546875" style="2" bestFit="1" customWidth="1"/>
    <col min="13071" max="13312" width="9.140625" style="2"/>
    <col min="13313" max="13313" width="5.5703125" style="2" customWidth="1"/>
    <col min="13314" max="13314" width="13.28515625" style="2" customWidth="1"/>
    <col min="13315" max="13315" width="17.140625" style="2" customWidth="1"/>
    <col min="13316" max="13316" width="43.28515625" style="2" customWidth="1"/>
    <col min="13317" max="13317" width="15" style="2" customWidth="1"/>
    <col min="13318" max="13318" width="18.28515625" style="2" customWidth="1"/>
    <col min="13319" max="13319" width="15.28515625" style="2" customWidth="1"/>
    <col min="13320" max="13320" width="19.85546875" style="2" customWidth="1"/>
    <col min="13321" max="13321" width="16.5703125" style="2" bestFit="1" customWidth="1"/>
    <col min="13322" max="13322" width="22" style="2" bestFit="1" customWidth="1"/>
    <col min="13323" max="13323" width="13.140625" style="2" bestFit="1" customWidth="1"/>
    <col min="13324" max="13324" width="22" style="2" bestFit="1" customWidth="1"/>
    <col min="13325" max="13325" width="16.42578125" style="2" bestFit="1" customWidth="1"/>
    <col min="13326" max="13326" width="17.85546875" style="2" bestFit="1" customWidth="1"/>
    <col min="13327" max="13568" width="9.140625" style="2"/>
    <col min="13569" max="13569" width="5.5703125" style="2" customWidth="1"/>
    <col min="13570" max="13570" width="13.28515625" style="2" customWidth="1"/>
    <col min="13571" max="13571" width="17.140625" style="2" customWidth="1"/>
    <col min="13572" max="13572" width="43.28515625" style="2" customWidth="1"/>
    <col min="13573" max="13573" width="15" style="2" customWidth="1"/>
    <col min="13574" max="13574" width="18.28515625" style="2" customWidth="1"/>
    <col min="13575" max="13575" width="15.28515625" style="2" customWidth="1"/>
    <col min="13576" max="13576" width="19.85546875" style="2" customWidth="1"/>
    <col min="13577" max="13577" width="16.5703125" style="2" bestFit="1" customWidth="1"/>
    <col min="13578" max="13578" width="22" style="2" bestFit="1" customWidth="1"/>
    <col min="13579" max="13579" width="13.140625" style="2" bestFit="1" customWidth="1"/>
    <col min="13580" max="13580" width="22" style="2" bestFit="1" customWidth="1"/>
    <col min="13581" max="13581" width="16.42578125" style="2" bestFit="1" customWidth="1"/>
    <col min="13582" max="13582" width="17.85546875" style="2" bestFit="1" customWidth="1"/>
    <col min="13583" max="13824" width="9.140625" style="2"/>
    <col min="13825" max="13825" width="5.5703125" style="2" customWidth="1"/>
    <col min="13826" max="13826" width="13.28515625" style="2" customWidth="1"/>
    <col min="13827" max="13827" width="17.140625" style="2" customWidth="1"/>
    <col min="13828" max="13828" width="43.28515625" style="2" customWidth="1"/>
    <col min="13829" max="13829" width="15" style="2" customWidth="1"/>
    <col min="13830" max="13830" width="18.28515625" style="2" customWidth="1"/>
    <col min="13831" max="13831" width="15.28515625" style="2" customWidth="1"/>
    <col min="13832" max="13832" width="19.85546875" style="2" customWidth="1"/>
    <col min="13833" max="13833" width="16.5703125" style="2" bestFit="1" customWidth="1"/>
    <col min="13834" max="13834" width="22" style="2" bestFit="1" customWidth="1"/>
    <col min="13835" max="13835" width="13.140625" style="2" bestFit="1" customWidth="1"/>
    <col min="13836" max="13836" width="22" style="2" bestFit="1" customWidth="1"/>
    <col min="13837" max="13837" width="16.42578125" style="2" bestFit="1" customWidth="1"/>
    <col min="13838" max="13838" width="17.85546875" style="2" bestFit="1" customWidth="1"/>
    <col min="13839" max="14080" width="9.140625" style="2"/>
    <col min="14081" max="14081" width="5.5703125" style="2" customWidth="1"/>
    <col min="14082" max="14082" width="13.28515625" style="2" customWidth="1"/>
    <col min="14083" max="14083" width="17.140625" style="2" customWidth="1"/>
    <col min="14084" max="14084" width="43.28515625" style="2" customWidth="1"/>
    <col min="14085" max="14085" width="15" style="2" customWidth="1"/>
    <col min="14086" max="14086" width="18.28515625" style="2" customWidth="1"/>
    <col min="14087" max="14087" width="15.28515625" style="2" customWidth="1"/>
    <col min="14088" max="14088" width="19.85546875" style="2" customWidth="1"/>
    <col min="14089" max="14089" width="16.5703125" style="2" bestFit="1" customWidth="1"/>
    <col min="14090" max="14090" width="22" style="2" bestFit="1" customWidth="1"/>
    <col min="14091" max="14091" width="13.140625" style="2" bestFit="1" customWidth="1"/>
    <col min="14092" max="14092" width="22" style="2" bestFit="1" customWidth="1"/>
    <col min="14093" max="14093" width="16.42578125" style="2" bestFit="1" customWidth="1"/>
    <col min="14094" max="14094" width="17.85546875" style="2" bestFit="1" customWidth="1"/>
    <col min="14095" max="14336" width="9.140625" style="2"/>
    <col min="14337" max="14337" width="5.5703125" style="2" customWidth="1"/>
    <col min="14338" max="14338" width="13.28515625" style="2" customWidth="1"/>
    <col min="14339" max="14339" width="17.140625" style="2" customWidth="1"/>
    <col min="14340" max="14340" width="43.28515625" style="2" customWidth="1"/>
    <col min="14341" max="14341" width="15" style="2" customWidth="1"/>
    <col min="14342" max="14342" width="18.28515625" style="2" customWidth="1"/>
    <col min="14343" max="14343" width="15.28515625" style="2" customWidth="1"/>
    <col min="14344" max="14344" width="19.85546875" style="2" customWidth="1"/>
    <col min="14345" max="14345" width="16.5703125" style="2" bestFit="1" customWidth="1"/>
    <col min="14346" max="14346" width="22" style="2" bestFit="1" customWidth="1"/>
    <col min="14347" max="14347" width="13.140625" style="2" bestFit="1" customWidth="1"/>
    <col min="14348" max="14348" width="22" style="2" bestFit="1" customWidth="1"/>
    <col min="14349" max="14349" width="16.42578125" style="2" bestFit="1" customWidth="1"/>
    <col min="14350" max="14350" width="17.85546875" style="2" bestFit="1" customWidth="1"/>
    <col min="14351" max="14592" width="9.140625" style="2"/>
    <col min="14593" max="14593" width="5.5703125" style="2" customWidth="1"/>
    <col min="14594" max="14594" width="13.28515625" style="2" customWidth="1"/>
    <col min="14595" max="14595" width="17.140625" style="2" customWidth="1"/>
    <col min="14596" max="14596" width="43.28515625" style="2" customWidth="1"/>
    <col min="14597" max="14597" width="15" style="2" customWidth="1"/>
    <col min="14598" max="14598" width="18.28515625" style="2" customWidth="1"/>
    <col min="14599" max="14599" width="15.28515625" style="2" customWidth="1"/>
    <col min="14600" max="14600" width="19.85546875" style="2" customWidth="1"/>
    <col min="14601" max="14601" width="16.5703125" style="2" bestFit="1" customWidth="1"/>
    <col min="14602" max="14602" width="22" style="2" bestFit="1" customWidth="1"/>
    <col min="14603" max="14603" width="13.140625" style="2" bestFit="1" customWidth="1"/>
    <col min="14604" max="14604" width="22" style="2" bestFit="1" customWidth="1"/>
    <col min="14605" max="14605" width="16.42578125" style="2" bestFit="1" customWidth="1"/>
    <col min="14606" max="14606" width="17.85546875" style="2" bestFit="1" customWidth="1"/>
    <col min="14607" max="14848" width="9.140625" style="2"/>
    <col min="14849" max="14849" width="5.5703125" style="2" customWidth="1"/>
    <col min="14850" max="14850" width="13.28515625" style="2" customWidth="1"/>
    <col min="14851" max="14851" width="17.140625" style="2" customWidth="1"/>
    <col min="14852" max="14852" width="43.28515625" style="2" customWidth="1"/>
    <col min="14853" max="14853" width="15" style="2" customWidth="1"/>
    <col min="14854" max="14854" width="18.28515625" style="2" customWidth="1"/>
    <col min="14855" max="14855" width="15.28515625" style="2" customWidth="1"/>
    <col min="14856" max="14856" width="19.85546875" style="2" customWidth="1"/>
    <col min="14857" max="14857" width="16.5703125" style="2" bestFit="1" customWidth="1"/>
    <col min="14858" max="14858" width="22" style="2" bestFit="1" customWidth="1"/>
    <col min="14859" max="14859" width="13.140625" style="2" bestFit="1" customWidth="1"/>
    <col min="14860" max="14860" width="22" style="2" bestFit="1" customWidth="1"/>
    <col min="14861" max="14861" width="16.42578125" style="2" bestFit="1" customWidth="1"/>
    <col min="14862" max="14862" width="17.85546875" style="2" bestFit="1" customWidth="1"/>
    <col min="14863" max="15104" width="9.140625" style="2"/>
    <col min="15105" max="15105" width="5.5703125" style="2" customWidth="1"/>
    <col min="15106" max="15106" width="13.28515625" style="2" customWidth="1"/>
    <col min="15107" max="15107" width="17.140625" style="2" customWidth="1"/>
    <col min="15108" max="15108" width="43.28515625" style="2" customWidth="1"/>
    <col min="15109" max="15109" width="15" style="2" customWidth="1"/>
    <col min="15110" max="15110" width="18.28515625" style="2" customWidth="1"/>
    <col min="15111" max="15111" width="15.28515625" style="2" customWidth="1"/>
    <col min="15112" max="15112" width="19.85546875" style="2" customWidth="1"/>
    <col min="15113" max="15113" width="16.5703125" style="2" bestFit="1" customWidth="1"/>
    <col min="15114" max="15114" width="22" style="2" bestFit="1" customWidth="1"/>
    <col min="15115" max="15115" width="13.140625" style="2" bestFit="1" customWidth="1"/>
    <col min="15116" max="15116" width="22" style="2" bestFit="1" customWidth="1"/>
    <col min="15117" max="15117" width="16.42578125" style="2" bestFit="1" customWidth="1"/>
    <col min="15118" max="15118" width="17.85546875" style="2" bestFit="1" customWidth="1"/>
    <col min="15119" max="15360" width="9.140625" style="2"/>
    <col min="15361" max="15361" width="5.5703125" style="2" customWidth="1"/>
    <col min="15362" max="15362" width="13.28515625" style="2" customWidth="1"/>
    <col min="15363" max="15363" width="17.140625" style="2" customWidth="1"/>
    <col min="15364" max="15364" width="43.28515625" style="2" customWidth="1"/>
    <col min="15365" max="15365" width="15" style="2" customWidth="1"/>
    <col min="15366" max="15366" width="18.28515625" style="2" customWidth="1"/>
    <col min="15367" max="15367" width="15.28515625" style="2" customWidth="1"/>
    <col min="15368" max="15368" width="19.85546875" style="2" customWidth="1"/>
    <col min="15369" max="15369" width="16.5703125" style="2" bestFit="1" customWidth="1"/>
    <col min="15370" max="15370" width="22" style="2" bestFit="1" customWidth="1"/>
    <col min="15371" max="15371" width="13.140625" style="2" bestFit="1" customWidth="1"/>
    <col min="15372" max="15372" width="22" style="2" bestFit="1" customWidth="1"/>
    <col min="15373" max="15373" width="16.42578125" style="2" bestFit="1" customWidth="1"/>
    <col min="15374" max="15374" width="17.85546875" style="2" bestFit="1" customWidth="1"/>
    <col min="15375" max="15616" width="9.140625" style="2"/>
    <col min="15617" max="15617" width="5.5703125" style="2" customWidth="1"/>
    <col min="15618" max="15618" width="13.28515625" style="2" customWidth="1"/>
    <col min="15619" max="15619" width="17.140625" style="2" customWidth="1"/>
    <col min="15620" max="15620" width="43.28515625" style="2" customWidth="1"/>
    <col min="15621" max="15621" width="15" style="2" customWidth="1"/>
    <col min="15622" max="15622" width="18.28515625" style="2" customWidth="1"/>
    <col min="15623" max="15623" width="15.28515625" style="2" customWidth="1"/>
    <col min="15624" max="15624" width="19.85546875" style="2" customWidth="1"/>
    <col min="15625" max="15625" width="16.5703125" style="2" bestFit="1" customWidth="1"/>
    <col min="15626" max="15626" width="22" style="2" bestFit="1" customWidth="1"/>
    <col min="15627" max="15627" width="13.140625" style="2" bestFit="1" customWidth="1"/>
    <col min="15628" max="15628" width="22" style="2" bestFit="1" customWidth="1"/>
    <col min="15629" max="15629" width="16.42578125" style="2" bestFit="1" customWidth="1"/>
    <col min="15630" max="15630" width="17.85546875" style="2" bestFit="1" customWidth="1"/>
    <col min="15631" max="15872" width="9.140625" style="2"/>
    <col min="15873" max="15873" width="5.5703125" style="2" customWidth="1"/>
    <col min="15874" max="15874" width="13.28515625" style="2" customWidth="1"/>
    <col min="15875" max="15875" width="17.140625" style="2" customWidth="1"/>
    <col min="15876" max="15876" width="43.28515625" style="2" customWidth="1"/>
    <col min="15877" max="15877" width="15" style="2" customWidth="1"/>
    <col min="15878" max="15878" width="18.28515625" style="2" customWidth="1"/>
    <col min="15879" max="15879" width="15.28515625" style="2" customWidth="1"/>
    <col min="15880" max="15880" width="19.85546875" style="2" customWidth="1"/>
    <col min="15881" max="15881" width="16.5703125" style="2" bestFit="1" customWidth="1"/>
    <col min="15882" max="15882" width="22" style="2" bestFit="1" customWidth="1"/>
    <col min="15883" max="15883" width="13.140625" style="2" bestFit="1" customWidth="1"/>
    <col min="15884" max="15884" width="22" style="2" bestFit="1" customWidth="1"/>
    <col min="15885" max="15885" width="16.42578125" style="2" bestFit="1" customWidth="1"/>
    <col min="15886" max="15886" width="17.85546875" style="2" bestFit="1" customWidth="1"/>
    <col min="15887" max="16128" width="9.140625" style="2"/>
    <col min="16129" max="16129" width="5.5703125" style="2" customWidth="1"/>
    <col min="16130" max="16130" width="13.28515625" style="2" customWidth="1"/>
    <col min="16131" max="16131" width="17.140625" style="2" customWidth="1"/>
    <col min="16132" max="16132" width="43.28515625" style="2" customWidth="1"/>
    <col min="16133" max="16133" width="15" style="2" customWidth="1"/>
    <col min="16134" max="16134" width="18.28515625" style="2" customWidth="1"/>
    <col min="16135" max="16135" width="15.28515625" style="2" customWidth="1"/>
    <col min="16136" max="16136" width="19.85546875" style="2" customWidth="1"/>
    <col min="16137" max="16137" width="16.5703125" style="2" bestFit="1" customWidth="1"/>
    <col min="16138" max="16138" width="22" style="2" bestFit="1" customWidth="1"/>
    <col min="16139" max="16139" width="13.140625" style="2" bestFit="1" customWidth="1"/>
    <col min="16140" max="16140" width="22" style="2" bestFit="1" customWidth="1"/>
    <col min="16141" max="16141" width="16.42578125" style="2" bestFit="1" customWidth="1"/>
    <col min="16142" max="16142" width="17.85546875" style="2" bestFit="1" customWidth="1"/>
    <col min="16143" max="16384" width="9.140625" style="2"/>
  </cols>
  <sheetData>
    <row r="1" spans="1:12" s="1" customFormat="1" ht="18.75">
      <c r="A1" s="127" t="s">
        <v>44</v>
      </c>
      <c r="B1" s="127"/>
      <c r="C1" s="127"/>
      <c r="D1" s="127"/>
      <c r="E1" s="127"/>
      <c r="F1" s="127"/>
      <c r="G1" s="127"/>
      <c r="H1" s="127"/>
    </row>
    <row r="2" spans="1:12" ht="16.5" thickBot="1"/>
    <row r="3" spans="1:12" s="8" customFormat="1" ht="84" customHeight="1" thickBot="1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J3" s="128" t="s">
        <v>9</v>
      </c>
      <c r="K3" s="129"/>
      <c r="L3" s="129"/>
    </row>
    <row r="4" spans="1:12" ht="15.75" customHeight="1">
      <c r="A4" s="140">
        <v>1</v>
      </c>
      <c r="B4" s="142" t="s">
        <v>45</v>
      </c>
      <c r="C4" s="136" t="s">
        <v>11</v>
      </c>
      <c r="D4" s="9" t="s">
        <v>12</v>
      </c>
      <c r="E4" s="10" t="s">
        <v>13</v>
      </c>
      <c r="F4" s="12">
        <v>25.006</v>
      </c>
      <c r="G4" s="66">
        <v>99667.21</v>
      </c>
      <c r="H4" s="13">
        <f>F4*G4</f>
        <v>2492278.2532600001</v>
      </c>
    </row>
    <row r="5" spans="1:12" ht="15.75" customHeight="1">
      <c r="A5" s="141"/>
      <c r="B5" s="143"/>
      <c r="C5" s="145"/>
      <c r="D5" s="14" t="s">
        <v>14</v>
      </c>
      <c r="E5" s="15" t="s">
        <v>15</v>
      </c>
      <c r="F5" s="16">
        <v>1.1639999999999999</v>
      </c>
      <c r="G5" s="17">
        <v>88.9</v>
      </c>
      <c r="H5" s="67">
        <f>F5*G5</f>
        <v>103.4796</v>
      </c>
    </row>
    <row r="6" spans="1:12" ht="20.25" customHeight="1">
      <c r="A6" s="141"/>
      <c r="B6" s="143"/>
      <c r="C6" s="137"/>
      <c r="D6" s="19" t="s">
        <v>16</v>
      </c>
      <c r="E6" s="20" t="s">
        <v>15</v>
      </c>
      <c r="F6" s="16">
        <v>4789.3580000000002</v>
      </c>
      <c r="G6" s="17">
        <v>88.9</v>
      </c>
      <c r="H6" s="67">
        <f>F6*G6</f>
        <v>425773.92620000005</v>
      </c>
      <c r="J6" s="21"/>
    </row>
    <row r="7" spans="1:12" ht="16.5" customHeight="1">
      <c r="A7" s="141"/>
      <c r="B7" s="143"/>
      <c r="C7" s="137"/>
      <c r="D7" s="19" t="s">
        <v>17</v>
      </c>
      <c r="E7" s="20" t="s">
        <v>15</v>
      </c>
      <c r="F7" s="16">
        <f>1156.053+0.248</f>
        <v>1156.3010000000002</v>
      </c>
      <c r="G7" s="17">
        <v>88.9</v>
      </c>
      <c r="H7" s="67">
        <f>F7*G7</f>
        <v>102795.15890000002</v>
      </c>
      <c r="J7" s="21"/>
    </row>
    <row r="8" spans="1:12">
      <c r="A8" s="141"/>
      <c r="B8" s="143"/>
      <c r="C8" s="137"/>
      <c r="D8" s="19" t="s">
        <v>18</v>
      </c>
      <c r="E8" s="20" t="s">
        <v>15</v>
      </c>
      <c r="F8" s="16">
        <v>719.58199999999999</v>
      </c>
      <c r="G8" s="17">
        <v>88.9</v>
      </c>
      <c r="H8" s="67">
        <f>F8*G8</f>
        <v>63970.839800000002</v>
      </c>
    </row>
    <row r="9" spans="1:12">
      <c r="A9" s="141"/>
      <c r="B9" s="143"/>
      <c r="C9" s="137"/>
      <c r="D9" s="22" t="s">
        <v>19</v>
      </c>
      <c r="E9" s="23"/>
      <c r="F9" s="25">
        <f>F4</f>
        <v>25.006</v>
      </c>
      <c r="G9" s="25"/>
      <c r="H9" s="26">
        <f>H4</f>
        <v>2492278.2532600001</v>
      </c>
      <c r="J9" s="27"/>
    </row>
    <row r="10" spans="1:12" ht="16.5" thickBot="1">
      <c r="A10" s="141"/>
      <c r="B10" s="144"/>
      <c r="C10" s="146"/>
      <c r="D10" s="68" t="s">
        <v>20</v>
      </c>
      <c r="E10" s="69"/>
      <c r="F10" s="60">
        <f>F6+F7+F8+F5</f>
        <v>6666.4050000000007</v>
      </c>
      <c r="G10" s="61"/>
      <c r="H10" s="62">
        <f>H6+H7+H8+H5</f>
        <v>592643.40449999995</v>
      </c>
      <c r="J10" s="21"/>
    </row>
    <row r="11" spans="1:12" ht="16.5" customHeight="1">
      <c r="A11" s="115">
        <v>2</v>
      </c>
      <c r="B11" s="124" t="s">
        <v>46</v>
      </c>
      <c r="C11" s="121" t="s">
        <v>11</v>
      </c>
      <c r="D11" s="39" t="s">
        <v>12</v>
      </c>
      <c r="E11" s="40" t="s">
        <v>13</v>
      </c>
      <c r="F11" s="12">
        <f>F4</f>
        <v>25.006</v>
      </c>
      <c r="G11" s="12">
        <v>99667.21</v>
      </c>
      <c r="H11" s="44">
        <f>F11*G11</f>
        <v>2492278.2532600001</v>
      </c>
      <c r="K11" s="27"/>
    </row>
    <row r="12" spans="1:12" ht="16.5" customHeight="1">
      <c r="A12" s="116"/>
      <c r="B12" s="125"/>
      <c r="C12" s="122"/>
      <c r="D12" s="14" t="s">
        <v>14</v>
      </c>
      <c r="E12" s="15" t="s">
        <v>15</v>
      </c>
      <c r="F12" s="16">
        <v>0.52500000000000002</v>
      </c>
      <c r="G12" s="17">
        <v>88.9</v>
      </c>
      <c r="H12" s="67">
        <f>F12*G12</f>
        <v>46.672500000000007</v>
      </c>
      <c r="K12" s="27"/>
    </row>
    <row r="13" spans="1:12" ht="21.75" customHeight="1">
      <c r="A13" s="116"/>
      <c r="B13" s="125"/>
      <c r="C13" s="122"/>
      <c r="D13" s="14" t="s">
        <v>16</v>
      </c>
      <c r="E13" s="15" t="s">
        <v>15</v>
      </c>
      <c r="F13" s="16">
        <v>4553.6130000000003</v>
      </c>
      <c r="G13" s="17">
        <v>88.9</v>
      </c>
      <c r="H13" s="67">
        <f>F13*G13</f>
        <v>404816.19570000004</v>
      </c>
    </row>
    <row r="14" spans="1:12" ht="21.75" customHeight="1">
      <c r="A14" s="116"/>
      <c r="B14" s="125"/>
      <c r="C14" s="122"/>
      <c r="D14" s="14" t="s">
        <v>17</v>
      </c>
      <c r="E14" s="15" t="s">
        <v>15</v>
      </c>
      <c r="F14" s="16">
        <f>1081.843+0.012</f>
        <v>1081.855</v>
      </c>
      <c r="G14" s="17">
        <v>88.9</v>
      </c>
      <c r="H14" s="67">
        <f>F14*G14</f>
        <v>96176.909500000009</v>
      </c>
    </row>
    <row r="15" spans="1:12">
      <c r="A15" s="116"/>
      <c r="B15" s="125"/>
      <c r="C15" s="122"/>
      <c r="D15" s="14" t="s">
        <v>18</v>
      </c>
      <c r="E15" s="15" t="s">
        <v>15</v>
      </c>
      <c r="F15" s="16">
        <v>648.08699999999999</v>
      </c>
      <c r="G15" s="17">
        <v>88.9</v>
      </c>
      <c r="H15" s="67">
        <f>F15*G15</f>
        <v>57614.934300000001</v>
      </c>
    </row>
    <row r="16" spans="1:12">
      <c r="A16" s="116"/>
      <c r="B16" s="125"/>
      <c r="C16" s="122"/>
      <c r="D16" s="35" t="s">
        <v>19</v>
      </c>
      <c r="E16" s="36"/>
      <c r="F16" s="25">
        <f>F11</f>
        <v>25.006</v>
      </c>
      <c r="G16" s="25"/>
      <c r="H16" s="26">
        <f>H11</f>
        <v>2492278.2532600001</v>
      </c>
    </row>
    <row r="17" spans="1:10" ht="16.5" thickBot="1">
      <c r="A17" s="116"/>
      <c r="B17" s="126"/>
      <c r="C17" s="123"/>
      <c r="D17" s="37" t="s">
        <v>20</v>
      </c>
      <c r="E17" s="38"/>
      <c r="F17" s="60">
        <f>F13+F14+F15+F12</f>
        <v>6284.08</v>
      </c>
      <c r="G17" s="61"/>
      <c r="H17" s="62">
        <f>H13+H14+H15+H12</f>
        <v>558654.71200000006</v>
      </c>
    </row>
    <row r="18" spans="1:10">
      <c r="A18" s="115">
        <v>3</v>
      </c>
      <c r="B18" s="118" t="s">
        <v>47</v>
      </c>
      <c r="C18" s="121" t="s">
        <v>11</v>
      </c>
      <c r="D18" s="39" t="s">
        <v>12</v>
      </c>
      <c r="E18" s="40" t="s">
        <v>13</v>
      </c>
      <c r="F18" s="12">
        <v>25.006</v>
      </c>
      <c r="G18" s="12">
        <v>99667.21</v>
      </c>
      <c r="H18" s="44">
        <f>F18*G18</f>
        <v>2492278.2532600001</v>
      </c>
    </row>
    <row r="19" spans="1:10">
      <c r="A19" s="116"/>
      <c r="B19" s="119"/>
      <c r="C19" s="122"/>
      <c r="D19" s="14" t="s">
        <v>14</v>
      </c>
      <c r="E19" s="15" t="s">
        <v>15</v>
      </c>
      <c r="F19" s="47">
        <v>13.481</v>
      </c>
      <c r="G19" s="65">
        <v>88.9</v>
      </c>
      <c r="H19" s="63">
        <f>F19*G19</f>
        <v>1198.4609</v>
      </c>
    </row>
    <row r="20" spans="1:10" ht="25.5">
      <c r="A20" s="116"/>
      <c r="B20" s="119"/>
      <c r="C20" s="122"/>
      <c r="D20" s="14" t="s">
        <v>16</v>
      </c>
      <c r="E20" s="15" t="s">
        <v>15</v>
      </c>
      <c r="F20" s="16">
        <v>4344.2150000000001</v>
      </c>
      <c r="G20" s="17">
        <v>88.9</v>
      </c>
      <c r="H20" s="67">
        <f>F20*G20</f>
        <v>386200.71350000001</v>
      </c>
      <c r="J20" s="27"/>
    </row>
    <row r="21" spans="1:10" ht="25.5">
      <c r="A21" s="116"/>
      <c r="B21" s="119"/>
      <c r="C21" s="122"/>
      <c r="D21" s="14" t="s">
        <v>17</v>
      </c>
      <c r="E21" s="15" t="s">
        <v>15</v>
      </c>
      <c r="F21" s="16">
        <v>1018.066</v>
      </c>
      <c r="G21" s="17">
        <v>88.9</v>
      </c>
      <c r="H21" s="67">
        <f>F21*G21</f>
        <v>90506.067400000014</v>
      </c>
    </row>
    <row r="22" spans="1:10">
      <c r="A22" s="116"/>
      <c r="B22" s="119"/>
      <c r="C22" s="122"/>
      <c r="D22" s="14" t="s">
        <v>18</v>
      </c>
      <c r="E22" s="15" t="s">
        <v>15</v>
      </c>
      <c r="F22" s="16">
        <v>620.38</v>
      </c>
      <c r="G22" s="17">
        <v>88.9</v>
      </c>
      <c r="H22" s="67">
        <f>F22*G22</f>
        <v>55151.782000000007</v>
      </c>
      <c r="J22" s="27"/>
    </row>
    <row r="23" spans="1:10">
      <c r="A23" s="116"/>
      <c r="B23" s="119"/>
      <c r="C23" s="122"/>
      <c r="D23" s="35" t="s">
        <v>19</v>
      </c>
      <c r="E23" s="36"/>
      <c r="F23" s="25">
        <f>F18</f>
        <v>25.006</v>
      </c>
      <c r="G23" s="25"/>
      <c r="H23" s="26">
        <f>H18</f>
        <v>2492278.2532600001</v>
      </c>
    </row>
    <row r="24" spans="1:10" ht="16.5" thickBot="1">
      <c r="A24" s="117"/>
      <c r="B24" s="120"/>
      <c r="C24" s="123"/>
      <c r="D24" s="37" t="s">
        <v>20</v>
      </c>
      <c r="E24" s="38"/>
      <c r="F24" s="60">
        <f>F20+F21+F22+F19</f>
        <v>5996.1419999999998</v>
      </c>
      <c r="G24" s="61"/>
      <c r="H24" s="62">
        <f>H20+H21+H22+H19</f>
        <v>533057.02379999997</v>
      </c>
    </row>
    <row r="25" spans="1:10">
      <c r="A25" s="115">
        <v>4</v>
      </c>
      <c r="B25" s="118" t="s">
        <v>23</v>
      </c>
      <c r="C25" s="121" t="s">
        <v>11</v>
      </c>
      <c r="D25" s="39" t="s">
        <v>12</v>
      </c>
      <c r="E25" s="40" t="s">
        <v>13</v>
      </c>
      <c r="F25" s="12">
        <v>25.006</v>
      </c>
      <c r="G25" s="12">
        <v>99667.21</v>
      </c>
      <c r="H25" s="44">
        <f>F25*G25</f>
        <v>2492278.2532600001</v>
      </c>
    </row>
    <row r="26" spans="1:10">
      <c r="A26" s="116"/>
      <c r="B26" s="119"/>
      <c r="C26" s="122"/>
      <c r="D26" s="14" t="s">
        <v>14</v>
      </c>
      <c r="E26" s="15" t="s">
        <v>15</v>
      </c>
      <c r="F26" s="65">
        <v>19.145</v>
      </c>
      <c r="G26" s="65">
        <v>88.9</v>
      </c>
      <c r="H26" s="67">
        <f>F26*G26</f>
        <v>1701.9905000000001</v>
      </c>
    </row>
    <row r="27" spans="1:10" ht="25.5">
      <c r="A27" s="116"/>
      <c r="B27" s="119"/>
      <c r="C27" s="122"/>
      <c r="D27" s="14" t="s">
        <v>16</v>
      </c>
      <c r="E27" s="15" t="s">
        <v>15</v>
      </c>
      <c r="F27" s="16">
        <v>4039.393</v>
      </c>
      <c r="G27" s="17">
        <v>88.9</v>
      </c>
      <c r="H27" s="67">
        <v>359102.04</v>
      </c>
    </row>
    <row r="28" spans="1:10" ht="25.5">
      <c r="A28" s="116"/>
      <c r="B28" s="119"/>
      <c r="C28" s="122"/>
      <c r="D28" s="14" t="s">
        <v>17</v>
      </c>
      <c r="E28" s="15" t="s">
        <v>15</v>
      </c>
      <c r="F28" s="16">
        <v>717.72400000000005</v>
      </c>
      <c r="G28" s="17">
        <v>88.9</v>
      </c>
      <c r="H28" s="67">
        <f>F28*G28</f>
        <v>63805.663600000007</v>
      </c>
    </row>
    <row r="29" spans="1:10">
      <c r="A29" s="116"/>
      <c r="B29" s="119"/>
      <c r="C29" s="122"/>
      <c r="D29" s="14" t="s">
        <v>18</v>
      </c>
      <c r="E29" s="15" t="s">
        <v>15</v>
      </c>
      <c r="F29" s="16">
        <v>578.90499999999997</v>
      </c>
      <c r="G29" s="17">
        <v>88.9</v>
      </c>
      <c r="H29" s="67">
        <f>F29*G29</f>
        <v>51464.654500000004</v>
      </c>
    </row>
    <row r="30" spans="1:10">
      <c r="A30" s="116"/>
      <c r="B30" s="119"/>
      <c r="C30" s="122"/>
      <c r="D30" s="35" t="s">
        <v>19</v>
      </c>
      <c r="E30" s="36"/>
      <c r="F30" s="25">
        <f>F25</f>
        <v>25.006</v>
      </c>
      <c r="G30" s="25"/>
      <c r="H30" s="26">
        <f>H25</f>
        <v>2492278.2532600001</v>
      </c>
    </row>
    <row r="31" spans="1:10" ht="16.5" thickBot="1">
      <c r="A31" s="117"/>
      <c r="B31" s="120"/>
      <c r="C31" s="123"/>
      <c r="D31" s="37" t="s">
        <v>20</v>
      </c>
      <c r="E31" s="38"/>
      <c r="F31" s="60">
        <f>F27+F28+F29+F26</f>
        <v>5355.1670000000004</v>
      </c>
      <c r="G31" s="61"/>
      <c r="H31" s="62">
        <f>H27+H28+H29+H26</f>
        <v>476074.34860000003</v>
      </c>
    </row>
    <row r="32" spans="1:10" s="41" customFormat="1">
      <c r="A32" s="115">
        <v>5</v>
      </c>
      <c r="B32" s="118" t="s">
        <v>24</v>
      </c>
      <c r="C32" s="121" t="s">
        <v>11</v>
      </c>
      <c r="D32" s="39" t="s">
        <v>12</v>
      </c>
      <c r="E32" s="40" t="s">
        <v>13</v>
      </c>
      <c r="F32" s="12">
        <f>F25</f>
        <v>25.006</v>
      </c>
      <c r="G32" s="12">
        <v>99667.21</v>
      </c>
      <c r="H32" s="44">
        <f>F32*G32</f>
        <v>2492278.2532600001</v>
      </c>
    </row>
    <row r="33" spans="1:8" s="41" customFormat="1">
      <c r="A33" s="116"/>
      <c r="B33" s="119"/>
      <c r="C33" s="122"/>
      <c r="D33" s="14" t="s">
        <v>14</v>
      </c>
      <c r="E33" s="15" t="s">
        <v>15</v>
      </c>
      <c r="F33" s="47">
        <v>25.995999999999999</v>
      </c>
      <c r="G33" s="17">
        <v>88.9</v>
      </c>
      <c r="H33" s="67">
        <f>F33*G33</f>
        <v>2311.0444000000002</v>
      </c>
    </row>
    <row r="34" spans="1:8" s="41" customFormat="1" ht="25.5">
      <c r="A34" s="116"/>
      <c r="B34" s="119"/>
      <c r="C34" s="122"/>
      <c r="D34" s="14" t="s">
        <v>16</v>
      </c>
      <c r="E34" s="15" t="s">
        <v>15</v>
      </c>
      <c r="F34" s="16">
        <f>3137.619+106.391</f>
        <v>3244.01</v>
      </c>
      <c r="G34" s="17">
        <v>88.9</v>
      </c>
      <c r="H34" s="67">
        <f>F34*G34</f>
        <v>288392.48900000006</v>
      </c>
    </row>
    <row r="35" spans="1:8" s="41" customFormat="1" ht="25.5">
      <c r="A35" s="116"/>
      <c r="B35" s="119"/>
      <c r="C35" s="122"/>
      <c r="D35" s="14" t="s">
        <v>17</v>
      </c>
      <c r="E35" s="15" t="s">
        <v>15</v>
      </c>
      <c r="F35" s="16">
        <f>859.613+2.665</f>
        <v>862.27800000000002</v>
      </c>
      <c r="G35" s="17">
        <v>88.9</v>
      </c>
      <c r="H35" s="67">
        <f>F35*G35</f>
        <v>76656.514200000005</v>
      </c>
    </row>
    <row r="36" spans="1:8" s="41" customFormat="1">
      <c r="A36" s="116"/>
      <c r="B36" s="119"/>
      <c r="C36" s="122"/>
      <c r="D36" s="14" t="s">
        <v>18</v>
      </c>
      <c r="E36" s="15" t="s">
        <v>15</v>
      </c>
      <c r="F36" s="16">
        <v>529.97699999999998</v>
      </c>
      <c r="G36" s="17">
        <v>88.9</v>
      </c>
      <c r="H36" s="67">
        <f>F36*G36</f>
        <v>47114.955300000001</v>
      </c>
    </row>
    <row r="37" spans="1:8" s="41" customFormat="1">
      <c r="A37" s="116"/>
      <c r="B37" s="119"/>
      <c r="C37" s="122"/>
      <c r="D37" s="35" t="s">
        <v>19</v>
      </c>
      <c r="E37" s="36"/>
      <c r="F37" s="25">
        <f>F32</f>
        <v>25.006</v>
      </c>
      <c r="G37" s="25"/>
      <c r="H37" s="26">
        <f>H32</f>
        <v>2492278.2532600001</v>
      </c>
    </row>
    <row r="38" spans="1:8" s="41" customFormat="1" ht="16.5" thickBot="1">
      <c r="A38" s="117"/>
      <c r="B38" s="120"/>
      <c r="C38" s="123"/>
      <c r="D38" s="37" t="s">
        <v>20</v>
      </c>
      <c r="E38" s="38"/>
      <c r="F38" s="60">
        <f>F34+F35+F36+F33</f>
        <v>4662.2610000000004</v>
      </c>
      <c r="G38" s="61"/>
      <c r="H38" s="62">
        <f>H34+H35+H36+H33</f>
        <v>414475.00290000008</v>
      </c>
    </row>
    <row r="39" spans="1:8" s="41" customFormat="1">
      <c r="A39" s="115">
        <v>6</v>
      </c>
      <c r="B39" s="118" t="s">
        <v>25</v>
      </c>
      <c r="C39" s="121" t="s">
        <v>11</v>
      </c>
      <c r="D39" s="39" t="s">
        <v>12</v>
      </c>
      <c r="E39" s="40" t="s">
        <v>13</v>
      </c>
      <c r="F39" s="12">
        <f>F32</f>
        <v>25.006</v>
      </c>
      <c r="G39" s="12">
        <v>99667.21</v>
      </c>
      <c r="H39" s="44">
        <f>F39*G39</f>
        <v>2492278.2532600001</v>
      </c>
    </row>
    <row r="40" spans="1:8" s="41" customFormat="1">
      <c r="A40" s="116"/>
      <c r="B40" s="119"/>
      <c r="C40" s="122"/>
      <c r="D40" s="14" t="s">
        <v>14</v>
      </c>
      <c r="E40" s="15" t="s">
        <v>15</v>
      </c>
      <c r="F40" s="47">
        <v>32.223999999999997</v>
      </c>
      <c r="G40" s="17">
        <v>88.9</v>
      </c>
      <c r="H40" s="67">
        <f>F40*G40</f>
        <v>2864.7136</v>
      </c>
    </row>
    <row r="41" spans="1:8" s="41" customFormat="1" ht="25.5">
      <c r="A41" s="116"/>
      <c r="B41" s="119"/>
      <c r="C41" s="122"/>
      <c r="D41" s="14" t="s">
        <v>16</v>
      </c>
      <c r="E41" s="15" t="s">
        <v>15</v>
      </c>
      <c r="F41" s="16">
        <f>3555.233+160.79</f>
        <v>3716.0230000000001</v>
      </c>
      <c r="G41" s="17">
        <v>88.9</v>
      </c>
      <c r="H41" s="67">
        <f>F41*G41</f>
        <v>330354.44470000005</v>
      </c>
    </row>
    <row r="42" spans="1:8" s="41" customFormat="1" ht="25.5">
      <c r="A42" s="116"/>
      <c r="B42" s="119"/>
      <c r="C42" s="122"/>
      <c r="D42" s="14" t="s">
        <v>17</v>
      </c>
      <c r="E42" s="15" t="s">
        <v>15</v>
      </c>
      <c r="F42" s="16">
        <f>1113.678+0.322</f>
        <v>1114</v>
      </c>
      <c r="G42" s="17">
        <v>88.9</v>
      </c>
      <c r="H42" s="67">
        <f>F42*G42</f>
        <v>99034.6</v>
      </c>
    </row>
    <row r="43" spans="1:8" s="41" customFormat="1">
      <c r="A43" s="116"/>
      <c r="B43" s="119"/>
      <c r="C43" s="122"/>
      <c r="D43" s="14" t="s">
        <v>18</v>
      </c>
      <c r="E43" s="15" t="s">
        <v>15</v>
      </c>
      <c r="F43" s="16">
        <v>640.524</v>
      </c>
      <c r="G43" s="17">
        <v>88.9</v>
      </c>
      <c r="H43" s="67">
        <f>F43*G43</f>
        <v>56942.583600000005</v>
      </c>
    </row>
    <row r="44" spans="1:8" s="41" customFormat="1">
      <c r="A44" s="116"/>
      <c r="B44" s="119"/>
      <c r="C44" s="122"/>
      <c r="D44" s="35" t="s">
        <v>19</v>
      </c>
      <c r="E44" s="36"/>
      <c r="F44" s="25">
        <f>F39</f>
        <v>25.006</v>
      </c>
      <c r="G44" s="25"/>
      <c r="H44" s="26">
        <f>H39</f>
        <v>2492278.2532600001</v>
      </c>
    </row>
    <row r="45" spans="1:8" s="41" customFormat="1" ht="16.5" thickBot="1">
      <c r="A45" s="117"/>
      <c r="B45" s="120"/>
      <c r="C45" s="123"/>
      <c r="D45" s="37" t="s">
        <v>20</v>
      </c>
      <c r="E45" s="38"/>
      <c r="F45" s="60">
        <f>F41+F42+F43+F40</f>
        <v>5502.7710000000006</v>
      </c>
      <c r="G45" s="61"/>
      <c r="H45" s="62">
        <f>H41+H42+H43+H40</f>
        <v>489196.34190000012</v>
      </c>
    </row>
    <row r="46" spans="1:8" s="41" customFormat="1">
      <c r="A46" s="115">
        <v>7</v>
      </c>
      <c r="B46" s="118" t="s">
        <v>26</v>
      </c>
      <c r="C46" s="121" t="s">
        <v>11</v>
      </c>
      <c r="D46" s="39" t="s">
        <v>12</v>
      </c>
      <c r="E46" s="40" t="s">
        <v>13</v>
      </c>
      <c r="F46" s="12">
        <f>F39</f>
        <v>25.006</v>
      </c>
      <c r="G46" s="12">
        <v>99667.21</v>
      </c>
      <c r="H46" s="44">
        <f>F46*G46</f>
        <v>2492278.2532600001</v>
      </c>
    </row>
    <row r="47" spans="1:8" s="41" customFormat="1">
      <c r="A47" s="116"/>
      <c r="B47" s="119"/>
      <c r="C47" s="122"/>
      <c r="D47" s="14" t="s">
        <v>14</v>
      </c>
      <c r="E47" s="15" t="s">
        <v>15</v>
      </c>
      <c r="F47" s="47">
        <v>4.7149999999999999</v>
      </c>
      <c r="G47" s="17">
        <v>88.9</v>
      </c>
      <c r="H47" s="67">
        <f>F47*G47</f>
        <v>419.1635</v>
      </c>
    </row>
    <row r="48" spans="1:8" s="41" customFormat="1" ht="25.5">
      <c r="A48" s="116"/>
      <c r="B48" s="119"/>
      <c r="C48" s="122"/>
      <c r="D48" s="14" t="s">
        <v>16</v>
      </c>
      <c r="E48" s="15" t="s">
        <v>15</v>
      </c>
      <c r="F48" s="16">
        <f>4230.063+157.526</f>
        <v>4387.5889999999999</v>
      </c>
      <c r="G48" s="17">
        <v>88.9</v>
      </c>
      <c r="H48" s="67">
        <f>F48*G48</f>
        <v>390056.66210000002</v>
      </c>
    </row>
    <row r="49" spans="1:8" s="41" customFormat="1" ht="25.5">
      <c r="A49" s="116"/>
      <c r="B49" s="119"/>
      <c r="C49" s="122"/>
      <c r="D49" s="14" t="s">
        <v>17</v>
      </c>
      <c r="E49" s="15" t="s">
        <v>15</v>
      </c>
      <c r="F49" s="16">
        <f>1422.853+1.48</f>
        <v>1424.3330000000001</v>
      </c>
      <c r="G49" s="17">
        <v>88.9</v>
      </c>
      <c r="H49" s="67">
        <f>F49*G49</f>
        <v>126623.20370000001</v>
      </c>
    </row>
    <row r="50" spans="1:8" s="41" customFormat="1">
      <c r="A50" s="116"/>
      <c r="B50" s="119"/>
      <c r="C50" s="122"/>
      <c r="D50" s="14" t="s">
        <v>18</v>
      </c>
      <c r="E50" s="15" t="s">
        <v>15</v>
      </c>
      <c r="F50" s="16">
        <v>908.97900000000004</v>
      </c>
      <c r="G50" s="17">
        <v>88.9</v>
      </c>
      <c r="H50" s="67">
        <f>F50*G50</f>
        <v>80808.233100000012</v>
      </c>
    </row>
    <row r="51" spans="1:8" s="41" customFormat="1">
      <c r="A51" s="116"/>
      <c r="B51" s="119"/>
      <c r="C51" s="122"/>
      <c r="D51" s="35" t="s">
        <v>19</v>
      </c>
      <c r="E51" s="36"/>
      <c r="F51" s="25">
        <f>F46</f>
        <v>25.006</v>
      </c>
      <c r="G51" s="25"/>
      <c r="H51" s="26">
        <f>H46</f>
        <v>2492278.2532600001</v>
      </c>
    </row>
    <row r="52" spans="1:8" s="41" customFormat="1" ht="16.5" thickBot="1">
      <c r="A52" s="117"/>
      <c r="B52" s="120"/>
      <c r="C52" s="123"/>
      <c r="D52" s="37" t="s">
        <v>20</v>
      </c>
      <c r="E52" s="38"/>
      <c r="F52" s="60">
        <f>F48+F49+F50+F47</f>
        <v>6725.6160000000009</v>
      </c>
      <c r="G52" s="61"/>
      <c r="H52" s="62">
        <f>H48+H49+H50+H47</f>
        <v>597907.26240000012</v>
      </c>
    </row>
    <row r="53" spans="1:8" s="41" customFormat="1">
      <c r="A53" s="115">
        <v>8</v>
      </c>
      <c r="B53" s="118" t="s">
        <v>27</v>
      </c>
      <c r="C53" s="121" t="s">
        <v>11</v>
      </c>
      <c r="D53" s="39" t="s">
        <v>12</v>
      </c>
      <c r="E53" s="40" t="s">
        <v>13</v>
      </c>
      <c r="F53" s="12">
        <f>F46</f>
        <v>25.006</v>
      </c>
      <c r="G53" s="12">
        <v>99667.21</v>
      </c>
      <c r="H53" s="44">
        <f>F53*G53</f>
        <v>2492278.2532600001</v>
      </c>
    </row>
    <row r="54" spans="1:8" s="41" customFormat="1">
      <c r="A54" s="116"/>
      <c r="B54" s="119"/>
      <c r="C54" s="122"/>
      <c r="D54" s="14" t="s">
        <v>14</v>
      </c>
      <c r="E54" s="15" t="s">
        <v>15</v>
      </c>
      <c r="F54" s="47">
        <v>6.8000000000000005E-2</v>
      </c>
      <c r="G54" s="17">
        <v>88.9</v>
      </c>
      <c r="H54" s="67">
        <f>F54*G54</f>
        <v>6.0452000000000012</v>
      </c>
    </row>
    <row r="55" spans="1:8" s="41" customFormat="1" ht="25.5">
      <c r="A55" s="116"/>
      <c r="B55" s="119"/>
      <c r="C55" s="122"/>
      <c r="D55" s="14" t="s">
        <v>16</v>
      </c>
      <c r="E55" s="15" t="s">
        <v>15</v>
      </c>
      <c r="F55" s="16">
        <v>4019.319</v>
      </c>
      <c r="G55" s="17">
        <v>88.9</v>
      </c>
      <c r="H55" s="67">
        <f>F55*G55</f>
        <v>357317.45910000004</v>
      </c>
    </row>
    <row r="56" spans="1:8" s="41" customFormat="1" ht="25.5">
      <c r="A56" s="116"/>
      <c r="B56" s="119"/>
      <c r="C56" s="122"/>
      <c r="D56" s="14" t="s">
        <v>17</v>
      </c>
      <c r="E56" s="15" t="s">
        <v>15</v>
      </c>
      <c r="F56" s="16">
        <v>1327.4369999999999</v>
      </c>
      <c r="G56" s="17">
        <v>88.9</v>
      </c>
      <c r="H56" s="67">
        <f>F56*G56</f>
        <v>118009.1493</v>
      </c>
    </row>
    <row r="57" spans="1:8" s="41" customFormat="1">
      <c r="A57" s="116"/>
      <c r="B57" s="119"/>
      <c r="C57" s="122"/>
      <c r="D57" s="14" t="s">
        <v>18</v>
      </c>
      <c r="E57" s="15" t="s">
        <v>15</v>
      </c>
      <c r="F57" s="16">
        <v>826.32</v>
      </c>
      <c r="G57" s="17">
        <v>88.9</v>
      </c>
      <c r="H57" s="67">
        <f>F57*G57</f>
        <v>73459.848000000013</v>
      </c>
    </row>
    <row r="58" spans="1:8" s="41" customFormat="1">
      <c r="A58" s="116"/>
      <c r="B58" s="119"/>
      <c r="C58" s="122"/>
      <c r="D58" s="35" t="s">
        <v>19</v>
      </c>
      <c r="E58" s="36"/>
      <c r="F58" s="25">
        <f>F53</f>
        <v>25.006</v>
      </c>
      <c r="G58" s="25"/>
      <c r="H58" s="26">
        <f>H53</f>
        <v>2492278.2532600001</v>
      </c>
    </row>
    <row r="59" spans="1:8" s="41" customFormat="1" ht="16.5" thickBot="1">
      <c r="A59" s="117"/>
      <c r="B59" s="120"/>
      <c r="C59" s="123"/>
      <c r="D59" s="37" t="s">
        <v>20</v>
      </c>
      <c r="E59" s="38"/>
      <c r="F59" s="60">
        <f>F55+F56+F57+F54</f>
        <v>6173.1439999999993</v>
      </c>
      <c r="G59" s="61"/>
      <c r="H59" s="62">
        <f>H55+H56+H57+H54</f>
        <v>548792.50160000008</v>
      </c>
    </row>
    <row r="60" spans="1:8" s="41" customFormat="1" ht="16.5" customHeight="1">
      <c r="A60" s="115">
        <v>9</v>
      </c>
      <c r="B60" s="118" t="s">
        <v>28</v>
      </c>
      <c r="C60" s="121" t="s">
        <v>11</v>
      </c>
      <c r="D60" s="39" t="s">
        <v>12</v>
      </c>
      <c r="E60" s="40" t="s">
        <v>13</v>
      </c>
      <c r="F60" s="12">
        <f>F53</f>
        <v>25.006</v>
      </c>
      <c r="G60" s="12">
        <v>99667.21</v>
      </c>
      <c r="H60" s="44">
        <f>F60*G60</f>
        <v>2492278.2532600001</v>
      </c>
    </row>
    <row r="61" spans="1:8" s="41" customFormat="1" ht="16.5" customHeight="1">
      <c r="A61" s="116"/>
      <c r="B61" s="119"/>
      <c r="C61" s="122"/>
      <c r="D61" s="14" t="s">
        <v>14</v>
      </c>
      <c r="E61" s="15" t="s">
        <v>15</v>
      </c>
      <c r="F61" s="47">
        <v>1.7589999999999999</v>
      </c>
      <c r="G61" s="17">
        <v>88.9</v>
      </c>
      <c r="H61" s="67">
        <f>F61*G61</f>
        <v>156.3751</v>
      </c>
    </row>
    <row r="62" spans="1:8" s="41" customFormat="1" ht="25.5">
      <c r="A62" s="116"/>
      <c r="B62" s="119"/>
      <c r="C62" s="122"/>
      <c r="D62" s="14" t="s">
        <v>16</v>
      </c>
      <c r="E62" s="15" t="s">
        <v>15</v>
      </c>
      <c r="F62" s="16">
        <v>3189.473</v>
      </c>
      <c r="G62" s="17">
        <v>88.9</v>
      </c>
      <c r="H62" s="67">
        <f>F62*G62</f>
        <v>283544.14970000001</v>
      </c>
    </row>
    <row r="63" spans="1:8" s="41" customFormat="1" ht="25.5">
      <c r="A63" s="116"/>
      <c r="B63" s="119"/>
      <c r="C63" s="122"/>
      <c r="D63" s="14" t="s">
        <v>17</v>
      </c>
      <c r="E63" s="15" t="s">
        <v>15</v>
      </c>
      <c r="F63" s="16">
        <v>1203.1690000000001</v>
      </c>
      <c r="G63" s="17">
        <v>88.9</v>
      </c>
      <c r="H63" s="67">
        <f>F63*G63</f>
        <v>106961.72410000002</v>
      </c>
    </row>
    <row r="64" spans="1:8" s="41" customFormat="1">
      <c r="A64" s="116"/>
      <c r="B64" s="119"/>
      <c r="C64" s="122"/>
      <c r="D64" s="14" t="s">
        <v>18</v>
      </c>
      <c r="E64" s="15" t="s">
        <v>15</v>
      </c>
      <c r="F64" s="16">
        <v>825.452</v>
      </c>
      <c r="G64" s="17">
        <v>88.9</v>
      </c>
      <c r="H64" s="67">
        <f>F64*G64</f>
        <v>73382.68280000001</v>
      </c>
    </row>
    <row r="65" spans="1:8" s="41" customFormat="1">
      <c r="A65" s="116"/>
      <c r="B65" s="119"/>
      <c r="C65" s="122"/>
      <c r="D65" s="35" t="s">
        <v>19</v>
      </c>
      <c r="E65" s="36"/>
      <c r="F65" s="25">
        <f>F60</f>
        <v>25.006</v>
      </c>
      <c r="G65" s="25"/>
      <c r="H65" s="26">
        <f>H60</f>
        <v>2492278.2532600001</v>
      </c>
    </row>
    <row r="66" spans="1:8" s="41" customFormat="1" ht="16.5" thickBot="1">
      <c r="A66" s="117"/>
      <c r="B66" s="120"/>
      <c r="C66" s="123"/>
      <c r="D66" s="37" t="s">
        <v>20</v>
      </c>
      <c r="E66" s="38"/>
      <c r="F66" s="60">
        <f>F62+F63+F64+F61</f>
        <v>5219.8530000000001</v>
      </c>
      <c r="G66" s="61"/>
      <c r="H66" s="62">
        <f>H62+H63+H64+H61</f>
        <v>464044.93170000007</v>
      </c>
    </row>
    <row r="67" spans="1:8" s="41" customFormat="1" ht="16.5" customHeight="1">
      <c r="A67" s="115">
        <v>10</v>
      </c>
      <c r="B67" s="118" t="s">
        <v>29</v>
      </c>
      <c r="C67" s="121" t="s">
        <v>11</v>
      </c>
      <c r="D67" s="39" t="s">
        <v>12</v>
      </c>
      <c r="E67" s="40" t="s">
        <v>13</v>
      </c>
      <c r="F67" s="12">
        <f>F60</f>
        <v>25.006</v>
      </c>
      <c r="G67" s="12">
        <v>99667.21</v>
      </c>
      <c r="H67" s="44">
        <f>F67*G67</f>
        <v>2492278.2532600001</v>
      </c>
    </row>
    <row r="68" spans="1:8" s="41" customFormat="1" ht="16.5" customHeight="1">
      <c r="A68" s="116"/>
      <c r="B68" s="119"/>
      <c r="C68" s="122"/>
      <c r="D68" s="14" t="s">
        <v>14</v>
      </c>
      <c r="E68" s="15" t="s">
        <v>15</v>
      </c>
      <c r="F68" s="47">
        <v>48.203000000000003</v>
      </c>
      <c r="G68" s="17">
        <v>88.9</v>
      </c>
      <c r="H68" s="67">
        <f>F68*G68</f>
        <v>4285.2467000000006</v>
      </c>
    </row>
    <row r="69" spans="1:8" s="41" customFormat="1" ht="25.5">
      <c r="A69" s="116"/>
      <c r="B69" s="119"/>
      <c r="C69" s="122"/>
      <c r="D69" s="14" t="s">
        <v>16</v>
      </c>
      <c r="E69" s="15" t="s">
        <v>15</v>
      </c>
      <c r="F69" s="16">
        <f>2611.159+127.805</f>
        <v>2738.9639999999999</v>
      </c>
      <c r="G69" s="17">
        <v>88.9</v>
      </c>
      <c r="H69" s="67">
        <f>F69*G69</f>
        <v>243493.8996</v>
      </c>
    </row>
    <row r="70" spans="1:8" s="41" customFormat="1" ht="25.5">
      <c r="A70" s="116"/>
      <c r="B70" s="119"/>
      <c r="C70" s="122"/>
      <c r="D70" s="14" t="s">
        <v>17</v>
      </c>
      <c r="E70" s="15" t="s">
        <v>15</v>
      </c>
      <c r="F70" s="16">
        <f>1048.964+3.592</f>
        <v>1052.556</v>
      </c>
      <c r="G70" s="17">
        <v>88.9</v>
      </c>
      <c r="H70" s="67">
        <f>F70*G70</f>
        <v>93572.228400000007</v>
      </c>
    </row>
    <row r="71" spans="1:8" s="41" customFormat="1">
      <c r="A71" s="116"/>
      <c r="B71" s="119"/>
      <c r="C71" s="122"/>
      <c r="D71" s="14" t="s">
        <v>18</v>
      </c>
      <c r="E71" s="15" t="s">
        <v>15</v>
      </c>
      <c r="F71" s="16">
        <v>592.73400000000004</v>
      </c>
      <c r="G71" s="17">
        <v>88.9</v>
      </c>
      <c r="H71" s="67">
        <f>F71*G71</f>
        <v>52694.05260000001</v>
      </c>
    </row>
    <row r="72" spans="1:8" s="41" customFormat="1">
      <c r="A72" s="116"/>
      <c r="B72" s="119"/>
      <c r="C72" s="122"/>
      <c r="D72" s="35" t="s">
        <v>19</v>
      </c>
      <c r="E72" s="36"/>
      <c r="F72" s="25">
        <f>F67</f>
        <v>25.006</v>
      </c>
      <c r="G72" s="25"/>
      <c r="H72" s="26">
        <f>H67</f>
        <v>2492278.2532600001</v>
      </c>
    </row>
    <row r="73" spans="1:8" s="41" customFormat="1" ht="16.5" thickBot="1">
      <c r="A73" s="117"/>
      <c r="B73" s="120"/>
      <c r="C73" s="123"/>
      <c r="D73" s="37" t="s">
        <v>20</v>
      </c>
      <c r="E73" s="38"/>
      <c r="F73" s="60">
        <f>F69+F70+F71+F68</f>
        <v>4432.4570000000003</v>
      </c>
      <c r="G73" s="61"/>
      <c r="H73" s="62">
        <f>H69+H70+H71+H68</f>
        <v>394045.42730000004</v>
      </c>
    </row>
    <row r="74" spans="1:8" s="43" customFormat="1" ht="16.5" customHeight="1">
      <c r="A74" s="115">
        <v>11</v>
      </c>
      <c r="B74" s="118" t="s">
        <v>30</v>
      </c>
      <c r="C74" s="121" t="s">
        <v>11</v>
      </c>
      <c r="D74" s="39" t="s">
        <v>12</v>
      </c>
      <c r="E74" s="40" t="s">
        <v>13</v>
      </c>
      <c r="F74" s="12">
        <f>F67</f>
        <v>25.006</v>
      </c>
      <c r="G74" s="12">
        <v>99667.21</v>
      </c>
      <c r="H74" s="44">
        <f>F74*G74</f>
        <v>2492278.2532600001</v>
      </c>
    </row>
    <row r="75" spans="1:8" s="43" customFormat="1" ht="16.5" customHeight="1">
      <c r="A75" s="116"/>
      <c r="B75" s="119"/>
      <c r="C75" s="122"/>
      <c r="D75" s="14" t="s">
        <v>14</v>
      </c>
      <c r="E75" s="15" t="s">
        <v>15</v>
      </c>
      <c r="F75" s="65">
        <v>67.459000000000003</v>
      </c>
      <c r="G75" s="17">
        <v>88.9</v>
      </c>
      <c r="H75" s="67">
        <f>F75*G75</f>
        <v>5997.1051000000007</v>
      </c>
    </row>
    <row r="76" spans="1:8" s="43" customFormat="1" ht="25.5">
      <c r="A76" s="116"/>
      <c r="B76" s="119"/>
      <c r="C76" s="122"/>
      <c r="D76" s="14" t="s">
        <v>16</v>
      </c>
      <c r="E76" s="15" t="s">
        <v>15</v>
      </c>
      <c r="F76" s="16">
        <f>4114.095+105.409</f>
        <v>4219.5039999999999</v>
      </c>
      <c r="G76" s="17">
        <v>88.9</v>
      </c>
      <c r="H76" s="67">
        <f>F76*G76</f>
        <v>375113.9056</v>
      </c>
    </row>
    <row r="77" spans="1:8" s="43" customFormat="1" ht="25.5">
      <c r="A77" s="116"/>
      <c r="B77" s="119"/>
      <c r="C77" s="122"/>
      <c r="D77" s="14" t="s">
        <v>17</v>
      </c>
      <c r="E77" s="15" t="s">
        <v>15</v>
      </c>
      <c r="F77" s="16">
        <f>1058.435+4.469</f>
        <v>1062.904</v>
      </c>
      <c r="G77" s="17">
        <v>88.9</v>
      </c>
      <c r="H77" s="67">
        <f>F77*G77</f>
        <v>94492.165600000008</v>
      </c>
    </row>
    <row r="78" spans="1:8" s="43" customFormat="1">
      <c r="A78" s="116"/>
      <c r="B78" s="119"/>
      <c r="C78" s="122"/>
      <c r="D78" s="14" t="s">
        <v>18</v>
      </c>
      <c r="E78" s="15" t="s">
        <v>15</v>
      </c>
      <c r="F78" s="16">
        <v>686.41899999999998</v>
      </c>
      <c r="G78" s="17">
        <v>88.9</v>
      </c>
      <c r="H78" s="67">
        <f>F78*G78</f>
        <v>61022.649100000002</v>
      </c>
    </row>
    <row r="79" spans="1:8" s="43" customFormat="1">
      <c r="A79" s="116"/>
      <c r="B79" s="119"/>
      <c r="C79" s="122"/>
      <c r="D79" s="35" t="s">
        <v>19</v>
      </c>
      <c r="E79" s="36"/>
      <c r="F79" s="25">
        <f>F74</f>
        <v>25.006</v>
      </c>
      <c r="G79" s="25"/>
      <c r="H79" s="26">
        <f>H74</f>
        <v>2492278.2532600001</v>
      </c>
    </row>
    <row r="80" spans="1:8" s="43" customFormat="1" ht="16.5" thickBot="1">
      <c r="A80" s="117"/>
      <c r="B80" s="120"/>
      <c r="C80" s="123"/>
      <c r="D80" s="37" t="s">
        <v>20</v>
      </c>
      <c r="E80" s="38"/>
      <c r="F80" s="60">
        <f>F76+F77+F78+F75</f>
        <v>6036.2859999999991</v>
      </c>
      <c r="G80" s="61"/>
      <c r="H80" s="62">
        <f>H76+H77+H78+H75</f>
        <v>536625.82540000009</v>
      </c>
    </row>
    <row r="81" spans="1:16" s="41" customFormat="1" ht="16.5" customHeight="1">
      <c r="A81" s="115">
        <v>12</v>
      </c>
      <c r="B81" s="118" t="s">
        <v>31</v>
      </c>
      <c r="C81" s="121" t="s">
        <v>11</v>
      </c>
      <c r="D81" s="39" t="s">
        <v>12</v>
      </c>
      <c r="E81" s="40" t="s">
        <v>13</v>
      </c>
      <c r="F81" s="12">
        <f>F74</f>
        <v>25.006</v>
      </c>
      <c r="G81" s="12">
        <v>99667.21</v>
      </c>
      <c r="H81" s="44">
        <f>F81*G81</f>
        <v>2492278.2532600001</v>
      </c>
    </row>
    <row r="82" spans="1:16" s="41" customFormat="1" ht="16.5" customHeight="1">
      <c r="A82" s="116"/>
      <c r="B82" s="119"/>
      <c r="C82" s="122"/>
      <c r="D82" s="14" t="s">
        <v>14</v>
      </c>
      <c r="E82" s="15" t="s">
        <v>15</v>
      </c>
      <c r="F82" s="47">
        <v>111.004</v>
      </c>
      <c r="G82" s="17">
        <v>88.9</v>
      </c>
      <c r="H82" s="67">
        <f>F82*G82</f>
        <v>9868.2556000000004</v>
      </c>
    </row>
    <row r="83" spans="1:16" s="41" customFormat="1" ht="25.5">
      <c r="A83" s="116"/>
      <c r="B83" s="119"/>
      <c r="C83" s="122"/>
      <c r="D83" s="14" t="s">
        <v>16</v>
      </c>
      <c r="E83" s="15" t="s">
        <v>15</v>
      </c>
      <c r="F83" s="16">
        <f>4767.842+78.647</f>
        <v>4846.4889999999996</v>
      </c>
      <c r="G83" s="17">
        <v>88.9</v>
      </c>
      <c r="H83" s="67">
        <f>F83*G83</f>
        <v>430852.87209999998</v>
      </c>
    </row>
    <row r="84" spans="1:16" s="41" customFormat="1" ht="25.5">
      <c r="A84" s="116"/>
      <c r="B84" s="119"/>
      <c r="C84" s="122"/>
      <c r="D84" s="14" t="s">
        <v>17</v>
      </c>
      <c r="E84" s="15" t="s">
        <v>15</v>
      </c>
      <c r="F84" s="16">
        <f>1233.422+6.049</f>
        <v>1239.471</v>
      </c>
      <c r="G84" s="17">
        <v>88.9</v>
      </c>
      <c r="H84" s="67">
        <f>F84*G84</f>
        <v>110188.9719</v>
      </c>
    </row>
    <row r="85" spans="1:16" s="41" customFormat="1">
      <c r="A85" s="116"/>
      <c r="B85" s="119"/>
      <c r="C85" s="122"/>
      <c r="D85" s="14" t="s">
        <v>18</v>
      </c>
      <c r="E85" s="15" t="s">
        <v>15</v>
      </c>
      <c r="F85" s="16">
        <v>635.89400000000001</v>
      </c>
      <c r="G85" s="17">
        <v>88.9</v>
      </c>
      <c r="H85" s="67">
        <f>F85*G85</f>
        <v>56530.976600000002</v>
      </c>
    </row>
    <row r="86" spans="1:16" s="41" customFormat="1">
      <c r="A86" s="116"/>
      <c r="B86" s="119"/>
      <c r="C86" s="122"/>
      <c r="D86" s="35" t="s">
        <v>19</v>
      </c>
      <c r="E86" s="36"/>
      <c r="F86" s="25">
        <f>F81</f>
        <v>25.006</v>
      </c>
      <c r="G86" s="25"/>
      <c r="H86" s="26">
        <f>H81</f>
        <v>2492278.2532600001</v>
      </c>
    </row>
    <row r="87" spans="1:16" s="41" customFormat="1" ht="16.5" thickBot="1">
      <c r="A87" s="117"/>
      <c r="B87" s="120"/>
      <c r="C87" s="123"/>
      <c r="D87" s="37" t="s">
        <v>20</v>
      </c>
      <c r="E87" s="38"/>
      <c r="F87" s="60">
        <f>F83+F84+F85+F82</f>
        <v>6832.8579999999993</v>
      </c>
      <c r="G87" s="61"/>
      <c r="H87" s="62">
        <f>H83+H84+H85+H82</f>
        <v>607441.07620000013</v>
      </c>
    </row>
    <row r="88" spans="1:16">
      <c r="A88" s="115">
        <v>13</v>
      </c>
      <c r="B88" s="118">
        <v>2020</v>
      </c>
      <c r="C88" s="121" t="s">
        <v>11</v>
      </c>
      <c r="D88" s="39" t="s">
        <v>12</v>
      </c>
      <c r="E88" s="40" t="s">
        <v>13</v>
      </c>
      <c r="F88" s="11">
        <v>25.006</v>
      </c>
      <c r="G88" s="12">
        <v>99667.21</v>
      </c>
      <c r="H88" s="44">
        <f>F88*G88*12</f>
        <v>29907339.039120004</v>
      </c>
      <c r="I88" s="45"/>
      <c r="J88" s="46"/>
    </row>
    <row r="89" spans="1:16">
      <c r="A89" s="116"/>
      <c r="B89" s="119"/>
      <c r="C89" s="122"/>
      <c r="D89" s="14" t="s">
        <v>14</v>
      </c>
      <c r="E89" s="15" t="s">
        <v>15</v>
      </c>
      <c r="F89" s="47">
        <v>326.00700000000001</v>
      </c>
      <c r="G89" s="65">
        <v>88.9</v>
      </c>
      <c r="H89" s="63">
        <f>F89*G89</f>
        <v>28982.022300000001</v>
      </c>
      <c r="J89" s="46"/>
      <c r="K89" s="46"/>
      <c r="L89" s="46"/>
    </row>
    <row r="90" spans="1:16" ht="25.5">
      <c r="A90" s="116"/>
      <c r="B90" s="119"/>
      <c r="C90" s="122"/>
      <c r="D90" s="14" t="s">
        <v>16</v>
      </c>
      <c r="E90" s="15" t="s">
        <v>15</v>
      </c>
      <c r="F90" s="47">
        <f>46750.703+1335.341</f>
        <v>48086.044000000002</v>
      </c>
      <c r="G90" s="65">
        <v>88.9</v>
      </c>
      <c r="H90" s="63">
        <f>F90*G90</f>
        <v>4274849.3116000006</v>
      </c>
      <c r="J90" s="21"/>
      <c r="K90" s="21"/>
      <c r="L90" s="21"/>
    </row>
    <row r="91" spans="1:16" ht="25.5">
      <c r="A91" s="116"/>
      <c r="B91" s="119"/>
      <c r="C91" s="122"/>
      <c r="D91" s="14" t="s">
        <v>17</v>
      </c>
      <c r="E91" s="15" t="s">
        <v>15</v>
      </c>
      <c r="F91" s="47">
        <f>13236.727+25.009</f>
        <v>13261.736000000001</v>
      </c>
      <c r="G91" s="65">
        <v>88.9</v>
      </c>
      <c r="H91" s="63">
        <f>F91*G91</f>
        <v>1178968.3304000001</v>
      </c>
      <c r="J91" s="21"/>
      <c r="K91" s="21"/>
      <c r="L91" s="21"/>
    </row>
    <row r="92" spans="1:16">
      <c r="A92" s="116"/>
      <c r="B92" s="119"/>
      <c r="C92" s="122"/>
      <c r="D92" s="14" t="s">
        <v>18</v>
      </c>
      <c r="E92" s="15" t="s">
        <v>15</v>
      </c>
      <c r="F92" s="47">
        <f>F8+F15+F22+F29+F36+F43+F50+F57+F64+F71+F78+F85</f>
        <v>8213.2529999999988</v>
      </c>
      <c r="G92" s="65">
        <v>88.9</v>
      </c>
      <c r="H92" s="63">
        <f>F92*G92</f>
        <v>730158.19169999997</v>
      </c>
      <c r="J92" s="21"/>
      <c r="K92" s="21"/>
      <c r="L92" s="21"/>
    </row>
    <row r="93" spans="1:16">
      <c r="A93" s="116"/>
      <c r="B93" s="119"/>
      <c r="C93" s="122"/>
      <c r="D93" s="35" t="s">
        <v>19</v>
      </c>
      <c r="E93" s="36"/>
      <c r="F93" s="24">
        <f>F88</f>
        <v>25.006</v>
      </c>
      <c r="G93" s="25"/>
      <c r="H93" s="26">
        <f>H88</f>
        <v>29907339.039120004</v>
      </c>
      <c r="I93" s="64">
        <f>H9+H16+H23+H30+H37+H44+H51+H58+H65+H72+H79+H86</f>
        <v>29907339.039120007</v>
      </c>
      <c r="J93" s="139"/>
      <c r="K93" s="139"/>
      <c r="L93" s="139"/>
      <c r="M93" s="27"/>
      <c r="N93" s="45"/>
      <c r="P93" s="27"/>
    </row>
    <row r="94" spans="1:16" ht="16.5" thickBot="1">
      <c r="A94" s="117"/>
      <c r="B94" s="120"/>
      <c r="C94" s="123"/>
      <c r="D94" s="37" t="s">
        <v>20</v>
      </c>
      <c r="E94" s="38"/>
      <c r="F94" s="30">
        <f>F90+F91+F92+F89</f>
        <v>69887.039999999994</v>
      </c>
      <c r="G94" s="31"/>
      <c r="H94" s="32">
        <f>H90+H91+H92+H89</f>
        <v>6212957.8560000015</v>
      </c>
      <c r="I94" s="64">
        <f>H10+H17+H24+H31+H38+H45+H52+H59+H66+H73+H80+H87</f>
        <v>6212957.8583000004</v>
      </c>
      <c r="J94" s="27"/>
      <c r="L94" s="48"/>
      <c r="N94" s="45"/>
      <c r="P94" s="27"/>
    </row>
    <row r="95" spans="1:16">
      <c r="A95" s="50"/>
      <c r="B95" s="50"/>
      <c r="C95" s="51"/>
      <c r="D95" s="52"/>
      <c r="E95" s="53"/>
      <c r="F95" s="54"/>
      <c r="G95" s="55"/>
      <c r="H95" s="55"/>
      <c r="J95" s="27"/>
      <c r="K95" s="27"/>
    </row>
    <row r="96" spans="1:16" s="56" customFormat="1" ht="18.75">
      <c r="E96" s="57"/>
      <c r="H96" s="58"/>
      <c r="J96" s="59"/>
      <c r="L96" s="58"/>
      <c r="M96" s="58"/>
    </row>
    <row r="97" spans="2:12" s="56" customFormat="1" ht="18.75">
      <c r="B97" s="56" t="s">
        <v>32</v>
      </c>
      <c r="E97" s="57"/>
      <c r="F97" s="56" t="s">
        <v>33</v>
      </c>
      <c r="L97" s="59"/>
    </row>
    <row r="98" spans="2:12" s="56" customFormat="1" ht="18.75">
      <c r="E98" s="57"/>
    </row>
    <row r="99" spans="2:12" s="56" customFormat="1" ht="18.75">
      <c r="B99" s="56" t="s">
        <v>34</v>
      </c>
      <c r="E99" s="57"/>
      <c r="F99" s="56" t="s">
        <v>35</v>
      </c>
    </row>
    <row r="103" spans="2:12">
      <c r="H103" s="27"/>
    </row>
  </sheetData>
  <mergeCells count="42">
    <mergeCell ref="A11:A17"/>
    <mergeCell ref="B11:B17"/>
    <mergeCell ref="C11:C17"/>
    <mergeCell ref="A1:H1"/>
    <mergeCell ref="J3:L3"/>
    <mergeCell ref="A4:A10"/>
    <mergeCell ref="B4:B10"/>
    <mergeCell ref="C4:C10"/>
    <mergeCell ref="A18:A24"/>
    <mergeCell ref="B18:B24"/>
    <mergeCell ref="C18:C24"/>
    <mergeCell ref="A25:A31"/>
    <mergeCell ref="B25:B31"/>
    <mergeCell ref="C25:C31"/>
    <mergeCell ref="A32:A38"/>
    <mergeCell ref="B32:B38"/>
    <mergeCell ref="C32:C38"/>
    <mergeCell ref="A39:A45"/>
    <mergeCell ref="B39:B45"/>
    <mergeCell ref="C39:C45"/>
    <mergeCell ref="A46:A52"/>
    <mergeCell ref="B46:B52"/>
    <mergeCell ref="C46:C52"/>
    <mergeCell ref="A53:A59"/>
    <mergeCell ref="B53:B59"/>
    <mergeCell ref="C53:C59"/>
    <mergeCell ref="A60:A66"/>
    <mergeCell ref="B60:B66"/>
    <mergeCell ref="C60:C66"/>
    <mergeCell ref="A67:A73"/>
    <mergeCell ref="B67:B73"/>
    <mergeCell ref="C67:C73"/>
    <mergeCell ref="A88:A94"/>
    <mergeCell ref="B88:B94"/>
    <mergeCell ref="C88:C94"/>
    <mergeCell ref="J93:L93"/>
    <mergeCell ref="A74:A80"/>
    <mergeCell ref="B74:B80"/>
    <mergeCell ref="C74:C80"/>
    <mergeCell ref="A81:A87"/>
    <mergeCell ref="B81:B87"/>
    <mergeCell ref="C81:C8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90"/>
  <sheetViews>
    <sheetView workbookViewId="0">
      <selection activeCell="I82" sqref="I82"/>
    </sheetView>
  </sheetViews>
  <sheetFormatPr defaultRowHeight="15.75"/>
  <cols>
    <col min="1" max="1" width="5.5703125" style="2" customWidth="1"/>
    <col min="2" max="2" width="10.28515625" style="2" customWidth="1"/>
    <col min="3" max="3" width="17.140625" style="2" customWidth="1"/>
    <col min="4" max="4" width="43.28515625" style="2" customWidth="1"/>
    <col min="5" max="5" width="15" style="3" customWidth="1"/>
    <col min="6" max="6" width="18.28515625" style="2" customWidth="1"/>
    <col min="7" max="7" width="15.28515625" style="2" customWidth="1"/>
    <col min="8" max="8" width="19.85546875" style="2" customWidth="1"/>
    <col min="9" max="9" width="9.140625" style="2"/>
    <col min="10" max="10" width="22" style="2" bestFit="1" customWidth="1"/>
    <col min="11" max="11" width="9.140625" style="2"/>
    <col min="12" max="12" width="22" style="2" bestFit="1" customWidth="1"/>
    <col min="13" max="13" width="16.42578125" style="2" bestFit="1" customWidth="1"/>
    <col min="14" max="14" width="17.85546875" style="2" bestFit="1" customWidth="1"/>
    <col min="15" max="256" width="9.140625" style="2"/>
    <col min="257" max="257" width="5.5703125" style="2" customWidth="1"/>
    <col min="258" max="258" width="10.28515625" style="2" customWidth="1"/>
    <col min="259" max="259" width="17.140625" style="2" customWidth="1"/>
    <col min="260" max="260" width="43.28515625" style="2" customWidth="1"/>
    <col min="261" max="261" width="15" style="2" customWidth="1"/>
    <col min="262" max="262" width="18.28515625" style="2" customWidth="1"/>
    <col min="263" max="263" width="15.28515625" style="2" customWidth="1"/>
    <col min="264" max="264" width="19.85546875" style="2" customWidth="1"/>
    <col min="265" max="265" width="9.140625" style="2"/>
    <col min="266" max="266" width="22" style="2" bestFit="1" customWidth="1"/>
    <col min="267" max="267" width="9.140625" style="2"/>
    <col min="268" max="268" width="22" style="2" bestFit="1" customWidth="1"/>
    <col min="269" max="269" width="16.42578125" style="2" bestFit="1" customWidth="1"/>
    <col min="270" max="270" width="17.85546875" style="2" bestFit="1" customWidth="1"/>
    <col min="271" max="512" width="9.140625" style="2"/>
    <col min="513" max="513" width="5.5703125" style="2" customWidth="1"/>
    <col min="514" max="514" width="10.28515625" style="2" customWidth="1"/>
    <col min="515" max="515" width="17.140625" style="2" customWidth="1"/>
    <col min="516" max="516" width="43.28515625" style="2" customWidth="1"/>
    <col min="517" max="517" width="15" style="2" customWidth="1"/>
    <col min="518" max="518" width="18.28515625" style="2" customWidth="1"/>
    <col min="519" max="519" width="15.28515625" style="2" customWidth="1"/>
    <col min="520" max="520" width="19.85546875" style="2" customWidth="1"/>
    <col min="521" max="521" width="9.140625" style="2"/>
    <col min="522" max="522" width="22" style="2" bestFit="1" customWidth="1"/>
    <col min="523" max="523" width="9.140625" style="2"/>
    <col min="524" max="524" width="22" style="2" bestFit="1" customWidth="1"/>
    <col min="525" max="525" width="16.42578125" style="2" bestFit="1" customWidth="1"/>
    <col min="526" max="526" width="17.85546875" style="2" bestFit="1" customWidth="1"/>
    <col min="527" max="768" width="9.140625" style="2"/>
    <col min="769" max="769" width="5.5703125" style="2" customWidth="1"/>
    <col min="770" max="770" width="10.28515625" style="2" customWidth="1"/>
    <col min="771" max="771" width="17.140625" style="2" customWidth="1"/>
    <col min="772" max="772" width="43.28515625" style="2" customWidth="1"/>
    <col min="773" max="773" width="15" style="2" customWidth="1"/>
    <col min="774" max="774" width="18.28515625" style="2" customWidth="1"/>
    <col min="775" max="775" width="15.28515625" style="2" customWidth="1"/>
    <col min="776" max="776" width="19.85546875" style="2" customWidth="1"/>
    <col min="777" max="777" width="9.140625" style="2"/>
    <col min="778" max="778" width="22" style="2" bestFit="1" customWidth="1"/>
    <col min="779" max="779" width="9.140625" style="2"/>
    <col min="780" max="780" width="22" style="2" bestFit="1" customWidth="1"/>
    <col min="781" max="781" width="16.42578125" style="2" bestFit="1" customWidth="1"/>
    <col min="782" max="782" width="17.85546875" style="2" bestFit="1" customWidth="1"/>
    <col min="783" max="1024" width="9.140625" style="2"/>
    <col min="1025" max="1025" width="5.5703125" style="2" customWidth="1"/>
    <col min="1026" max="1026" width="10.28515625" style="2" customWidth="1"/>
    <col min="1027" max="1027" width="17.140625" style="2" customWidth="1"/>
    <col min="1028" max="1028" width="43.28515625" style="2" customWidth="1"/>
    <col min="1029" max="1029" width="15" style="2" customWidth="1"/>
    <col min="1030" max="1030" width="18.28515625" style="2" customWidth="1"/>
    <col min="1031" max="1031" width="15.28515625" style="2" customWidth="1"/>
    <col min="1032" max="1032" width="19.85546875" style="2" customWidth="1"/>
    <col min="1033" max="1033" width="9.140625" style="2"/>
    <col min="1034" max="1034" width="22" style="2" bestFit="1" customWidth="1"/>
    <col min="1035" max="1035" width="9.140625" style="2"/>
    <col min="1036" max="1036" width="22" style="2" bestFit="1" customWidth="1"/>
    <col min="1037" max="1037" width="16.42578125" style="2" bestFit="1" customWidth="1"/>
    <col min="1038" max="1038" width="17.85546875" style="2" bestFit="1" customWidth="1"/>
    <col min="1039" max="1280" width="9.140625" style="2"/>
    <col min="1281" max="1281" width="5.5703125" style="2" customWidth="1"/>
    <col min="1282" max="1282" width="10.28515625" style="2" customWidth="1"/>
    <col min="1283" max="1283" width="17.140625" style="2" customWidth="1"/>
    <col min="1284" max="1284" width="43.28515625" style="2" customWidth="1"/>
    <col min="1285" max="1285" width="15" style="2" customWidth="1"/>
    <col min="1286" max="1286" width="18.28515625" style="2" customWidth="1"/>
    <col min="1287" max="1287" width="15.28515625" style="2" customWidth="1"/>
    <col min="1288" max="1288" width="19.85546875" style="2" customWidth="1"/>
    <col min="1289" max="1289" width="9.140625" style="2"/>
    <col min="1290" max="1290" width="22" style="2" bestFit="1" customWidth="1"/>
    <col min="1291" max="1291" width="9.140625" style="2"/>
    <col min="1292" max="1292" width="22" style="2" bestFit="1" customWidth="1"/>
    <col min="1293" max="1293" width="16.42578125" style="2" bestFit="1" customWidth="1"/>
    <col min="1294" max="1294" width="17.85546875" style="2" bestFit="1" customWidth="1"/>
    <col min="1295" max="1536" width="9.140625" style="2"/>
    <col min="1537" max="1537" width="5.5703125" style="2" customWidth="1"/>
    <col min="1538" max="1538" width="10.28515625" style="2" customWidth="1"/>
    <col min="1539" max="1539" width="17.140625" style="2" customWidth="1"/>
    <col min="1540" max="1540" width="43.28515625" style="2" customWidth="1"/>
    <col min="1541" max="1541" width="15" style="2" customWidth="1"/>
    <col min="1542" max="1542" width="18.28515625" style="2" customWidth="1"/>
    <col min="1543" max="1543" width="15.28515625" style="2" customWidth="1"/>
    <col min="1544" max="1544" width="19.85546875" style="2" customWidth="1"/>
    <col min="1545" max="1545" width="9.140625" style="2"/>
    <col min="1546" max="1546" width="22" style="2" bestFit="1" customWidth="1"/>
    <col min="1547" max="1547" width="9.140625" style="2"/>
    <col min="1548" max="1548" width="22" style="2" bestFit="1" customWidth="1"/>
    <col min="1549" max="1549" width="16.42578125" style="2" bestFit="1" customWidth="1"/>
    <col min="1550" max="1550" width="17.85546875" style="2" bestFit="1" customWidth="1"/>
    <col min="1551" max="1792" width="9.140625" style="2"/>
    <col min="1793" max="1793" width="5.5703125" style="2" customWidth="1"/>
    <col min="1794" max="1794" width="10.28515625" style="2" customWidth="1"/>
    <col min="1795" max="1795" width="17.140625" style="2" customWidth="1"/>
    <col min="1796" max="1796" width="43.28515625" style="2" customWidth="1"/>
    <col min="1797" max="1797" width="15" style="2" customWidth="1"/>
    <col min="1798" max="1798" width="18.28515625" style="2" customWidth="1"/>
    <col min="1799" max="1799" width="15.28515625" style="2" customWidth="1"/>
    <col min="1800" max="1800" width="19.85546875" style="2" customWidth="1"/>
    <col min="1801" max="1801" width="9.140625" style="2"/>
    <col min="1802" max="1802" width="22" style="2" bestFit="1" customWidth="1"/>
    <col min="1803" max="1803" width="9.140625" style="2"/>
    <col min="1804" max="1804" width="22" style="2" bestFit="1" customWidth="1"/>
    <col min="1805" max="1805" width="16.42578125" style="2" bestFit="1" customWidth="1"/>
    <col min="1806" max="1806" width="17.85546875" style="2" bestFit="1" customWidth="1"/>
    <col min="1807" max="2048" width="9.140625" style="2"/>
    <col min="2049" max="2049" width="5.5703125" style="2" customWidth="1"/>
    <col min="2050" max="2050" width="10.28515625" style="2" customWidth="1"/>
    <col min="2051" max="2051" width="17.140625" style="2" customWidth="1"/>
    <col min="2052" max="2052" width="43.28515625" style="2" customWidth="1"/>
    <col min="2053" max="2053" width="15" style="2" customWidth="1"/>
    <col min="2054" max="2054" width="18.28515625" style="2" customWidth="1"/>
    <col min="2055" max="2055" width="15.28515625" style="2" customWidth="1"/>
    <col min="2056" max="2056" width="19.85546875" style="2" customWidth="1"/>
    <col min="2057" max="2057" width="9.140625" style="2"/>
    <col min="2058" max="2058" width="22" style="2" bestFit="1" customWidth="1"/>
    <col min="2059" max="2059" width="9.140625" style="2"/>
    <col min="2060" max="2060" width="22" style="2" bestFit="1" customWidth="1"/>
    <col min="2061" max="2061" width="16.42578125" style="2" bestFit="1" customWidth="1"/>
    <col min="2062" max="2062" width="17.85546875" style="2" bestFit="1" customWidth="1"/>
    <col min="2063" max="2304" width="9.140625" style="2"/>
    <col min="2305" max="2305" width="5.5703125" style="2" customWidth="1"/>
    <col min="2306" max="2306" width="10.28515625" style="2" customWidth="1"/>
    <col min="2307" max="2307" width="17.140625" style="2" customWidth="1"/>
    <col min="2308" max="2308" width="43.28515625" style="2" customWidth="1"/>
    <col min="2309" max="2309" width="15" style="2" customWidth="1"/>
    <col min="2310" max="2310" width="18.28515625" style="2" customWidth="1"/>
    <col min="2311" max="2311" width="15.28515625" style="2" customWidth="1"/>
    <col min="2312" max="2312" width="19.85546875" style="2" customWidth="1"/>
    <col min="2313" max="2313" width="9.140625" style="2"/>
    <col min="2314" max="2314" width="22" style="2" bestFit="1" customWidth="1"/>
    <col min="2315" max="2315" width="9.140625" style="2"/>
    <col min="2316" max="2316" width="22" style="2" bestFit="1" customWidth="1"/>
    <col min="2317" max="2317" width="16.42578125" style="2" bestFit="1" customWidth="1"/>
    <col min="2318" max="2318" width="17.85546875" style="2" bestFit="1" customWidth="1"/>
    <col min="2319" max="2560" width="9.140625" style="2"/>
    <col min="2561" max="2561" width="5.5703125" style="2" customWidth="1"/>
    <col min="2562" max="2562" width="10.28515625" style="2" customWidth="1"/>
    <col min="2563" max="2563" width="17.140625" style="2" customWidth="1"/>
    <col min="2564" max="2564" width="43.28515625" style="2" customWidth="1"/>
    <col min="2565" max="2565" width="15" style="2" customWidth="1"/>
    <col min="2566" max="2566" width="18.28515625" style="2" customWidth="1"/>
    <col min="2567" max="2567" width="15.28515625" style="2" customWidth="1"/>
    <col min="2568" max="2568" width="19.85546875" style="2" customWidth="1"/>
    <col min="2569" max="2569" width="9.140625" style="2"/>
    <col min="2570" max="2570" width="22" style="2" bestFit="1" customWidth="1"/>
    <col min="2571" max="2571" width="9.140625" style="2"/>
    <col min="2572" max="2572" width="22" style="2" bestFit="1" customWidth="1"/>
    <col min="2573" max="2573" width="16.42578125" style="2" bestFit="1" customWidth="1"/>
    <col min="2574" max="2574" width="17.85546875" style="2" bestFit="1" customWidth="1"/>
    <col min="2575" max="2816" width="9.140625" style="2"/>
    <col min="2817" max="2817" width="5.5703125" style="2" customWidth="1"/>
    <col min="2818" max="2818" width="10.28515625" style="2" customWidth="1"/>
    <col min="2819" max="2819" width="17.140625" style="2" customWidth="1"/>
    <col min="2820" max="2820" width="43.28515625" style="2" customWidth="1"/>
    <col min="2821" max="2821" width="15" style="2" customWidth="1"/>
    <col min="2822" max="2822" width="18.28515625" style="2" customWidth="1"/>
    <col min="2823" max="2823" width="15.28515625" style="2" customWidth="1"/>
    <col min="2824" max="2824" width="19.85546875" style="2" customWidth="1"/>
    <col min="2825" max="2825" width="9.140625" style="2"/>
    <col min="2826" max="2826" width="22" style="2" bestFit="1" customWidth="1"/>
    <col min="2827" max="2827" width="9.140625" style="2"/>
    <col min="2828" max="2828" width="22" style="2" bestFit="1" customWidth="1"/>
    <col min="2829" max="2829" width="16.42578125" style="2" bestFit="1" customWidth="1"/>
    <col min="2830" max="2830" width="17.85546875" style="2" bestFit="1" customWidth="1"/>
    <col min="2831" max="3072" width="9.140625" style="2"/>
    <col min="3073" max="3073" width="5.5703125" style="2" customWidth="1"/>
    <col min="3074" max="3074" width="10.28515625" style="2" customWidth="1"/>
    <col min="3075" max="3075" width="17.140625" style="2" customWidth="1"/>
    <col min="3076" max="3076" width="43.28515625" style="2" customWidth="1"/>
    <col min="3077" max="3077" width="15" style="2" customWidth="1"/>
    <col min="3078" max="3078" width="18.28515625" style="2" customWidth="1"/>
    <col min="3079" max="3079" width="15.28515625" style="2" customWidth="1"/>
    <col min="3080" max="3080" width="19.85546875" style="2" customWidth="1"/>
    <col min="3081" max="3081" width="9.140625" style="2"/>
    <col min="3082" max="3082" width="22" style="2" bestFit="1" customWidth="1"/>
    <col min="3083" max="3083" width="9.140625" style="2"/>
    <col min="3084" max="3084" width="22" style="2" bestFit="1" customWidth="1"/>
    <col min="3085" max="3085" width="16.42578125" style="2" bestFit="1" customWidth="1"/>
    <col min="3086" max="3086" width="17.85546875" style="2" bestFit="1" customWidth="1"/>
    <col min="3087" max="3328" width="9.140625" style="2"/>
    <col min="3329" max="3329" width="5.5703125" style="2" customWidth="1"/>
    <col min="3330" max="3330" width="10.28515625" style="2" customWidth="1"/>
    <col min="3331" max="3331" width="17.140625" style="2" customWidth="1"/>
    <col min="3332" max="3332" width="43.28515625" style="2" customWidth="1"/>
    <col min="3333" max="3333" width="15" style="2" customWidth="1"/>
    <col min="3334" max="3334" width="18.28515625" style="2" customWidth="1"/>
    <col min="3335" max="3335" width="15.28515625" style="2" customWidth="1"/>
    <col min="3336" max="3336" width="19.85546875" style="2" customWidth="1"/>
    <col min="3337" max="3337" width="9.140625" style="2"/>
    <col min="3338" max="3338" width="22" style="2" bestFit="1" customWidth="1"/>
    <col min="3339" max="3339" width="9.140625" style="2"/>
    <col min="3340" max="3340" width="22" style="2" bestFit="1" customWidth="1"/>
    <col min="3341" max="3341" width="16.42578125" style="2" bestFit="1" customWidth="1"/>
    <col min="3342" max="3342" width="17.85546875" style="2" bestFit="1" customWidth="1"/>
    <col min="3343" max="3584" width="9.140625" style="2"/>
    <col min="3585" max="3585" width="5.5703125" style="2" customWidth="1"/>
    <col min="3586" max="3586" width="10.28515625" style="2" customWidth="1"/>
    <col min="3587" max="3587" width="17.140625" style="2" customWidth="1"/>
    <col min="3588" max="3588" width="43.28515625" style="2" customWidth="1"/>
    <col min="3589" max="3589" width="15" style="2" customWidth="1"/>
    <col min="3590" max="3590" width="18.28515625" style="2" customWidth="1"/>
    <col min="3591" max="3591" width="15.28515625" style="2" customWidth="1"/>
    <col min="3592" max="3592" width="19.85546875" style="2" customWidth="1"/>
    <col min="3593" max="3593" width="9.140625" style="2"/>
    <col min="3594" max="3594" width="22" style="2" bestFit="1" customWidth="1"/>
    <col min="3595" max="3595" width="9.140625" style="2"/>
    <col min="3596" max="3596" width="22" style="2" bestFit="1" customWidth="1"/>
    <col min="3597" max="3597" width="16.42578125" style="2" bestFit="1" customWidth="1"/>
    <col min="3598" max="3598" width="17.85546875" style="2" bestFit="1" customWidth="1"/>
    <col min="3599" max="3840" width="9.140625" style="2"/>
    <col min="3841" max="3841" width="5.5703125" style="2" customWidth="1"/>
    <col min="3842" max="3842" width="10.28515625" style="2" customWidth="1"/>
    <col min="3843" max="3843" width="17.140625" style="2" customWidth="1"/>
    <col min="3844" max="3844" width="43.28515625" style="2" customWidth="1"/>
    <col min="3845" max="3845" width="15" style="2" customWidth="1"/>
    <col min="3846" max="3846" width="18.28515625" style="2" customWidth="1"/>
    <col min="3847" max="3847" width="15.28515625" style="2" customWidth="1"/>
    <col min="3848" max="3848" width="19.85546875" style="2" customWidth="1"/>
    <col min="3849" max="3849" width="9.140625" style="2"/>
    <col min="3850" max="3850" width="22" style="2" bestFit="1" customWidth="1"/>
    <col min="3851" max="3851" width="9.140625" style="2"/>
    <col min="3852" max="3852" width="22" style="2" bestFit="1" customWidth="1"/>
    <col min="3853" max="3853" width="16.42578125" style="2" bestFit="1" customWidth="1"/>
    <col min="3854" max="3854" width="17.85546875" style="2" bestFit="1" customWidth="1"/>
    <col min="3855" max="4096" width="9.140625" style="2"/>
    <col min="4097" max="4097" width="5.5703125" style="2" customWidth="1"/>
    <col min="4098" max="4098" width="10.28515625" style="2" customWidth="1"/>
    <col min="4099" max="4099" width="17.140625" style="2" customWidth="1"/>
    <col min="4100" max="4100" width="43.28515625" style="2" customWidth="1"/>
    <col min="4101" max="4101" width="15" style="2" customWidth="1"/>
    <col min="4102" max="4102" width="18.28515625" style="2" customWidth="1"/>
    <col min="4103" max="4103" width="15.28515625" style="2" customWidth="1"/>
    <col min="4104" max="4104" width="19.85546875" style="2" customWidth="1"/>
    <col min="4105" max="4105" width="9.140625" style="2"/>
    <col min="4106" max="4106" width="22" style="2" bestFit="1" customWidth="1"/>
    <col min="4107" max="4107" width="9.140625" style="2"/>
    <col min="4108" max="4108" width="22" style="2" bestFit="1" customWidth="1"/>
    <col min="4109" max="4109" width="16.42578125" style="2" bestFit="1" customWidth="1"/>
    <col min="4110" max="4110" width="17.85546875" style="2" bestFit="1" customWidth="1"/>
    <col min="4111" max="4352" width="9.140625" style="2"/>
    <col min="4353" max="4353" width="5.5703125" style="2" customWidth="1"/>
    <col min="4354" max="4354" width="10.28515625" style="2" customWidth="1"/>
    <col min="4355" max="4355" width="17.140625" style="2" customWidth="1"/>
    <col min="4356" max="4356" width="43.28515625" style="2" customWidth="1"/>
    <col min="4357" max="4357" width="15" style="2" customWidth="1"/>
    <col min="4358" max="4358" width="18.28515625" style="2" customWidth="1"/>
    <col min="4359" max="4359" width="15.28515625" style="2" customWidth="1"/>
    <col min="4360" max="4360" width="19.85546875" style="2" customWidth="1"/>
    <col min="4361" max="4361" width="9.140625" style="2"/>
    <col min="4362" max="4362" width="22" style="2" bestFit="1" customWidth="1"/>
    <col min="4363" max="4363" width="9.140625" style="2"/>
    <col min="4364" max="4364" width="22" style="2" bestFit="1" customWidth="1"/>
    <col min="4365" max="4365" width="16.42578125" style="2" bestFit="1" customWidth="1"/>
    <col min="4366" max="4366" width="17.85546875" style="2" bestFit="1" customWidth="1"/>
    <col min="4367" max="4608" width="9.140625" style="2"/>
    <col min="4609" max="4609" width="5.5703125" style="2" customWidth="1"/>
    <col min="4610" max="4610" width="10.28515625" style="2" customWidth="1"/>
    <col min="4611" max="4611" width="17.140625" style="2" customWidth="1"/>
    <col min="4612" max="4612" width="43.28515625" style="2" customWidth="1"/>
    <col min="4613" max="4613" width="15" style="2" customWidth="1"/>
    <col min="4614" max="4614" width="18.28515625" style="2" customWidth="1"/>
    <col min="4615" max="4615" width="15.28515625" style="2" customWidth="1"/>
    <col min="4616" max="4616" width="19.85546875" style="2" customWidth="1"/>
    <col min="4617" max="4617" width="9.140625" style="2"/>
    <col min="4618" max="4618" width="22" style="2" bestFit="1" customWidth="1"/>
    <col min="4619" max="4619" width="9.140625" style="2"/>
    <col min="4620" max="4620" width="22" style="2" bestFit="1" customWidth="1"/>
    <col min="4621" max="4621" width="16.42578125" style="2" bestFit="1" customWidth="1"/>
    <col min="4622" max="4622" width="17.85546875" style="2" bestFit="1" customWidth="1"/>
    <col min="4623" max="4864" width="9.140625" style="2"/>
    <col min="4865" max="4865" width="5.5703125" style="2" customWidth="1"/>
    <col min="4866" max="4866" width="10.28515625" style="2" customWidth="1"/>
    <col min="4867" max="4867" width="17.140625" style="2" customWidth="1"/>
    <col min="4868" max="4868" width="43.28515625" style="2" customWidth="1"/>
    <col min="4869" max="4869" width="15" style="2" customWidth="1"/>
    <col min="4870" max="4870" width="18.28515625" style="2" customWidth="1"/>
    <col min="4871" max="4871" width="15.28515625" style="2" customWidth="1"/>
    <col min="4872" max="4872" width="19.85546875" style="2" customWidth="1"/>
    <col min="4873" max="4873" width="9.140625" style="2"/>
    <col min="4874" max="4874" width="22" style="2" bestFit="1" customWidth="1"/>
    <col min="4875" max="4875" width="9.140625" style="2"/>
    <col min="4876" max="4876" width="22" style="2" bestFit="1" customWidth="1"/>
    <col min="4877" max="4877" width="16.42578125" style="2" bestFit="1" customWidth="1"/>
    <col min="4878" max="4878" width="17.85546875" style="2" bestFit="1" customWidth="1"/>
    <col min="4879" max="5120" width="9.140625" style="2"/>
    <col min="5121" max="5121" width="5.5703125" style="2" customWidth="1"/>
    <col min="5122" max="5122" width="10.28515625" style="2" customWidth="1"/>
    <col min="5123" max="5123" width="17.140625" style="2" customWidth="1"/>
    <col min="5124" max="5124" width="43.28515625" style="2" customWidth="1"/>
    <col min="5125" max="5125" width="15" style="2" customWidth="1"/>
    <col min="5126" max="5126" width="18.28515625" style="2" customWidth="1"/>
    <col min="5127" max="5127" width="15.28515625" style="2" customWidth="1"/>
    <col min="5128" max="5128" width="19.85546875" style="2" customWidth="1"/>
    <col min="5129" max="5129" width="9.140625" style="2"/>
    <col min="5130" max="5130" width="22" style="2" bestFit="1" customWidth="1"/>
    <col min="5131" max="5131" width="9.140625" style="2"/>
    <col min="5132" max="5132" width="22" style="2" bestFit="1" customWidth="1"/>
    <col min="5133" max="5133" width="16.42578125" style="2" bestFit="1" customWidth="1"/>
    <col min="5134" max="5134" width="17.85546875" style="2" bestFit="1" customWidth="1"/>
    <col min="5135" max="5376" width="9.140625" style="2"/>
    <col min="5377" max="5377" width="5.5703125" style="2" customWidth="1"/>
    <col min="5378" max="5378" width="10.28515625" style="2" customWidth="1"/>
    <col min="5379" max="5379" width="17.140625" style="2" customWidth="1"/>
    <col min="5380" max="5380" width="43.28515625" style="2" customWidth="1"/>
    <col min="5381" max="5381" width="15" style="2" customWidth="1"/>
    <col min="5382" max="5382" width="18.28515625" style="2" customWidth="1"/>
    <col min="5383" max="5383" width="15.28515625" style="2" customWidth="1"/>
    <col min="5384" max="5384" width="19.85546875" style="2" customWidth="1"/>
    <col min="5385" max="5385" width="9.140625" style="2"/>
    <col min="5386" max="5386" width="22" style="2" bestFit="1" customWidth="1"/>
    <col min="5387" max="5387" width="9.140625" style="2"/>
    <col min="5388" max="5388" width="22" style="2" bestFit="1" customWidth="1"/>
    <col min="5389" max="5389" width="16.42578125" style="2" bestFit="1" customWidth="1"/>
    <col min="5390" max="5390" width="17.85546875" style="2" bestFit="1" customWidth="1"/>
    <col min="5391" max="5632" width="9.140625" style="2"/>
    <col min="5633" max="5633" width="5.5703125" style="2" customWidth="1"/>
    <col min="5634" max="5634" width="10.28515625" style="2" customWidth="1"/>
    <col min="5635" max="5635" width="17.140625" style="2" customWidth="1"/>
    <col min="5636" max="5636" width="43.28515625" style="2" customWidth="1"/>
    <col min="5637" max="5637" width="15" style="2" customWidth="1"/>
    <col min="5638" max="5638" width="18.28515625" style="2" customWidth="1"/>
    <col min="5639" max="5639" width="15.28515625" style="2" customWidth="1"/>
    <col min="5640" max="5640" width="19.85546875" style="2" customWidth="1"/>
    <col min="5641" max="5641" width="9.140625" style="2"/>
    <col min="5642" max="5642" width="22" style="2" bestFit="1" customWidth="1"/>
    <col min="5643" max="5643" width="9.140625" style="2"/>
    <col min="5644" max="5644" width="22" style="2" bestFit="1" customWidth="1"/>
    <col min="5645" max="5645" width="16.42578125" style="2" bestFit="1" customWidth="1"/>
    <col min="5646" max="5646" width="17.85546875" style="2" bestFit="1" customWidth="1"/>
    <col min="5647" max="5888" width="9.140625" style="2"/>
    <col min="5889" max="5889" width="5.5703125" style="2" customWidth="1"/>
    <col min="5890" max="5890" width="10.28515625" style="2" customWidth="1"/>
    <col min="5891" max="5891" width="17.140625" style="2" customWidth="1"/>
    <col min="5892" max="5892" width="43.28515625" style="2" customWidth="1"/>
    <col min="5893" max="5893" width="15" style="2" customWidth="1"/>
    <col min="5894" max="5894" width="18.28515625" style="2" customWidth="1"/>
    <col min="5895" max="5895" width="15.28515625" style="2" customWidth="1"/>
    <col min="5896" max="5896" width="19.85546875" style="2" customWidth="1"/>
    <col min="5897" max="5897" width="9.140625" style="2"/>
    <col min="5898" max="5898" width="22" style="2" bestFit="1" customWidth="1"/>
    <col min="5899" max="5899" width="9.140625" style="2"/>
    <col min="5900" max="5900" width="22" style="2" bestFit="1" customWidth="1"/>
    <col min="5901" max="5901" width="16.42578125" style="2" bestFit="1" customWidth="1"/>
    <col min="5902" max="5902" width="17.85546875" style="2" bestFit="1" customWidth="1"/>
    <col min="5903" max="6144" width="9.140625" style="2"/>
    <col min="6145" max="6145" width="5.5703125" style="2" customWidth="1"/>
    <col min="6146" max="6146" width="10.28515625" style="2" customWidth="1"/>
    <col min="6147" max="6147" width="17.140625" style="2" customWidth="1"/>
    <col min="6148" max="6148" width="43.28515625" style="2" customWidth="1"/>
    <col min="6149" max="6149" width="15" style="2" customWidth="1"/>
    <col min="6150" max="6150" width="18.28515625" style="2" customWidth="1"/>
    <col min="6151" max="6151" width="15.28515625" style="2" customWidth="1"/>
    <col min="6152" max="6152" width="19.85546875" style="2" customWidth="1"/>
    <col min="6153" max="6153" width="9.140625" style="2"/>
    <col min="6154" max="6154" width="22" style="2" bestFit="1" customWidth="1"/>
    <col min="6155" max="6155" width="9.140625" style="2"/>
    <col min="6156" max="6156" width="22" style="2" bestFit="1" customWidth="1"/>
    <col min="6157" max="6157" width="16.42578125" style="2" bestFit="1" customWidth="1"/>
    <col min="6158" max="6158" width="17.85546875" style="2" bestFit="1" customWidth="1"/>
    <col min="6159" max="6400" width="9.140625" style="2"/>
    <col min="6401" max="6401" width="5.5703125" style="2" customWidth="1"/>
    <col min="6402" max="6402" width="10.28515625" style="2" customWidth="1"/>
    <col min="6403" max="6403" width="17.140625" style="2" customWidth="1"/>
    <col min="6404" max="6404" width="43.28515625" style="2" customWidth="1"/>
    <col min="6405" max="6405" width="15" style="2" customWidth="1"/>
    <col min="6406" max="6406" width="18.28515625" style="2" customWidth="1"/>
    <col min="6407" max="6407" width="15.28515625" style="2" customWidth="1"/>
    <col min="6408" max="6408" width="19.85546875" style="2" customWidth="1"/>
    <col min="6409" max="6409" width="9.140625" style="2"/>
    <col min="6410" max="6410" width="22" style="2" bestFit="1" customWidth="1"/>
    <col min="6411" max="6411" width="9.140625" style="2"/>
    <col min="6412" max="6412" width="22" style="2" bestFit="1" customWidth="1"/>
    <col min="6413" max="6413" width="16.42578125" style="2" bestFit="1" customWidth="1"/>
    <col min="6414" max="6414" width="17.85546875" style="2" bestFit="1" customWidth="1"/>
    <col min="6415" max="6656" width="9.140625" style="2"/>
    <col min="6657" max="6657" width="5.5703125" style="2" customWidth="1"/>
    <col min="6658" max="6658" width="10.28515625" style="2" customWidth="1"/>
    <col min="6659" max="6659" width="17.140625" style="2" customWidth="1"/>
    <col min="6660" max="6660" width="43.28515625" style="2" customWidth="1"/>
    <col min="6661" max="6661" width="15" style="2" customWidth="1"/>
    <col min="6662" max="6662" width="18.28515625" style="2" customWidth="1"/>
    <col min="6663" max="6663" width="15.28515625" style="2" customWidth="1"/>
    <col min="6664" max="6664" width="19.85546875" style="2" customWidth="1"/>
    <col min="6665" max="6665" width="9.140625" style="2"/>
    <col min="6666" max="6666" width="22" style="2" bestFit="1" customWidth="1"/>
    <col min="6667" max="6667" width="9.140625" style="2"/>
    <col min="6668" max="6668" width="22" style="2" bestFit="1" customWidth="1"/>
    <col min="6669" max="6669" width="16.42578125" style="2" bestFit="1" customWidth="1"/>
    <col min="6670" max="6670" width="17.85546875" style="2" bestFit="1" customWidth="1"/>
    <col min="6671" max="6912" width="9.140625" style="2"/>
    <col min="6913" max="6913" width="5.5703125" style="2" customWidth="1"/>
    <col min="6914" max="6914" width="10.28515625" style="2" customWidth="1"/>
    <col min="6915" max="6915" width="17.140625" style="2" customWidth="1"/>
    <col min="6916" max="6916" width="43.28515625" style="2" customWidth="1"/>
    <col min="6917" max="6917" width="15" style="2" customWidth="1"/>
    <col min="6918" max="6918" width="18.28515625" style="2" customWidth="1"/>
    <col min="6919" max="6919" width="15.28515625" style="2" customWidth="1"/>
    <col min="6920" max="6920" width="19.85546875" style="2" customWidth="1"/>
    <col min="6921" max="6921" width="9.140625" style="2"/>
    <col min="6922" max="6922" width="22" style="2" bestFit="1" customWidth="1"/>
    <col min="6923" max="6923" width="9.140625" style="2"/>
    <col min="6924" max="6924" width="22" style="2" bestFit="1" customWidth="1"/>
    <col min="6925" max="6925" width="16.42578125" style="2" bestFit="1" customWidth="1"/>
    <col min="6926" max="6926" width="17.85546875" style="2" bestFit="1" customWidth="1"/>
    <col min="6927" max="7168" width="9.140625" style="2"/>
    <col min="7169" max="7169" width="5.5703125" style="2" customWidth="1"/>
    <col min="7170" max="7170" width="10.28515625" style="2" customWidth="1"/>
    <col min="7171" max="7171" width="17.140625" style="2" customWidth="1"/>
    <col min="7172" max="7172" width="43.28515625" style="2" customWidth="1"/>
    <col min="7173" max="7173" width="15" style="2" customWidth="1"/>
    <col min="7174" max="7174" width="18.28515625" style="2" customWidth="1"/>
    <col min="7175" max="7175" width="15.28515625" style="2" customWidth="1"/>
    <col min="7176" max="7176" width="19.85546875" style="2" customWidth="1"/>
    <col min="7177" max="7177" width="9.140625" style="2"/>
    <col min="7178" max="7178" width="22" style="2" bestFit="1" customWidth="1"/>
    <col min="7179" max="7179" width="9.140625" style="2"/>
    <col min="7180" max="7180" width="22" style="2" bestFit="1" customWidth="1"/>
    <col min="7181" max="7181" width="16.42578125" style="2" bestFit="1" customWidth="1"/>
    <col min="7182" max="7182" width="17.85546875" style="2" bestFit="1" customWidth="1"/>
    <col min="7183" max="7424" width="9.140625" style="2"/>
    <col min="7425" max="7425" width="5.5703125" style="2" customWidth="1"/>
    <col min="7426" max="7426" width="10.28515625" style="2" customWidth="1"/>
    <col min="7427" max="7427" width="17.140625" style="2" customWidth="1"/>
    <col min="7428" max="7428" width="43.28515625" style="2" customWidth="1"/>
    <col min="7429" max="7429" width="15" style="2" customWidth="1"/>
    <col min="7430" max="7430" width="18.28515625" style="2" customWidth="1"/>
    <col min="7431" max="7431" width="15.28515625" style="2" customWidth="1"/>
    <col min="7432" max="7432" width="19.85546875" style="2" customWidth="1"/>
    <col min="7433" max="7433" width="9.140625" style="2"/>
    <col min="7434" max="7434" width="22" style="2" bestFit="1" customWidth="1"/>
    <col min="7435" max="7435" width="9.140625" style="2"/>
    <col min="7436" max="7436" width="22" style="2" bestFit="1" customWidth="1"/>
    <col min="7437" max="7437" width="16.42578125" style="2" bestFit="1" customWidth="1"/>
    <col min="7438" max="7438" width="17.85546875" style="2" bestFit="1" customWidth="1"/>
    <col min="7439" max="7680" width="9.140625" style="2"/>
    <col min="7681" max="7681" width="5.5703125" style="2" customWidth="1"/>
    <col min="7682" max="7682" width="10.28515625" style="2" customWidth="1"/>
    <col min="7683" max="7683" width="17.140625" style="2" customWidth="1"/>
    <col min="7684" max="7684" width="43.28515625" style="2" customWidth="1"/>
    <col min="7685" max="7685" width="15" style="2" customWidth="1"/>
    <col min="7686" max="7686" width="18.28515625" style="2" customWidth="1"/>
    <col min="7687" max="7687" width="15.28515625" style="2" customWidth="1"/>
    <col min="7688" max="7688" width="19.85546875" style="2" customWidth="1"/>
    <col min="7689" max="7689" width="9.140625" style="2"/>
    <col min="7690" max="7690" width="22" style="2" bestFit="1" customWidth="1"/>
    <col min="7691" max="7691" width="9.140625" style="2"/>
    <col min="7692" max="7692" width="22" style="2" bestFit="1" customWidth="1"/>
    <col min="7693" max="7693" width="16.42578125" style="2" bestFit="1" customWidth="1"/>
    <col min="7694" max="7694" width="17.85546875" style="2" bestFit="1" customWidth="1"/>
    <col min="7695" max="7936" width="9.140625" style="2"/>
    <col min="7937" max="7937" width="5.5703125" style="2" customWidth="1"/>
    <col min="7938" max="7938" width="10.28515625" style="2" customWidth="1"/>
    <col min="7939" max="7939" width="17.140625" style="2" customWidth="1"/>
    <col min="7940" max="7940" width="43.28515625" style="2" customWidth="1"/>
    <col min="7941" max="7941" width="15" style="2" customWidth="1"/>
    <col min="7942" max="7942" width="18.28515625" style="2" customWidth="1"/>
    <col min="7943" max="7943" width="15.28515625" style="2" customWidth="1"/>
    <col min="7944" max="7944" width="19.85546875" style="2" customWidth="1"/>
    <col min="7945" max="7945" width="9.140625" style="2"/>
    <col min="7946" max="7946" width="22" style="2" bestFit="1" customWidth="1"/>
    <col min="7947" max="7947" width="9.140625" style="2"/>
    <col min="7948" max="7948" width="22" style="2" bestFit="1" customWidth="1"/>
    <col min="7949" max="7949" width="16.42578125" style="2" bestFit="1" customWidth="1"/>
    <col min="7950" max="7950" width="17.85546875" style="2" bestFit="1" customWidth="1"/>
    <col min="7951" max="8192" width="9.140625" style="2"/>
    <col min="8193" max="8193" width="5.5703125" style="2" customWidth="1"/>
    <col min="8194" max="8194" width="10.28515625" style="2" customWidth="1"/>
    <col min="8195" max="8195" width="17.140625" style="2" customWidth="1"/>
    <col min="8196" max="8196" width="43.28515625" style="2" customWidth="1"/>
    <col min="8197" max="8197" width="15" style="2" customWidth="1"/>
    <col min="8198" max="8198" width="18.28515625" style="2" customWidth="1"/>
    <col min="8199" max="8199" width="15.28515625" style="2" customWidth="1"/>
    <col min="8200" max="8200" width="19.85546875" style="2" customWidth="1"/>
    <col min="8201" max="8201" width="9.140625" style="2"/>
    <col min="8202" max="8202" width="22" style="2" bestFit="1" customWidth="1"/>
    <col min="8203" max="8203" width="9.140625" style="2"/>
    <col min="8204" max="8204" width="22" style="2" bestFit="1" customWidth="1"/>
    <col min="8205" max="8205" width="16.42578125" style="2" bestFit="1" customWidth="1"/>
    <col min="8206" max="8206" width="17.85546875" style="2" bestFit="1" customWidth="1"/>
    <col min="8207" max="8448" width="9.140625" style="2"/>
    <col min="8449" max="8449" width="5.5703125" style="2" customWidth="1"/>
    <col min="8450" max="8450" width="10.28515625" style="2" customWidth="1"/>
    <col min="8451" max="8451" width="17.140625" style="2" customWidth="1"/>
    <col min="8452" max="8452" width="43.28515625" style="2" customWidth="1"/>
    <col min="8453" max="8453" width="15" style="2" customWidth="1"/>
    <col min="8454" max="8454" width="18.28515625" style="2" customWidth="1"/>
    <col min="8455" max="8455" width="15.28515625" style="2" customWidth="1"/>
    <col min="8456" max="8456" width="19.85546875" style="2" customWidth="1"/>
    <col min="8457" max="8457" width="9.140625" style="2"/>
    <col min="8458" max="8458" width="22" style="2" bestFit="1" customWidth="1"/>
    <col min="8459" max="8459" width="9.140625" style="2"/>
    <col min="8460" max="8460" width="22" style="2" bestFit="1" customWidth="1"/>
    <col min="8461" max="8461" width="16.42578125" style="2" bestFit="1" customWidth="1"/>
    <col min="8462" max="8462" width="17.85546875" style="2" bestFit="1" customWidth="1"/>
    <col min="8463" max="8704" width="9.140625" style="2"/>
    <col min="8705" max="8705" width="5.5703125" style="2" customWidth="1"/>
    <col min="8706" max="8706" width="10.28515625" style="2" customWidth="1"/>
    <col min="8707" max="8707" width="17.140625" style="2" customWidth="1"/>
    <col min="8708" max="8708" width="43.28515625" style="2" customWidth="1"/>
    <col min="8709" max="8709" width="15" style="2" customWidth="1"/>
    <col min="8710" max="8710" width="18.28515625" style="2" customWidth="1"/>
    <col min="8711" max="8711" width="15.28515625" style="2" customWidth="1"/>
    <col min="8712" max="8712" width="19.85546875" style="2" customWidth="1"/>
    <col min="8713" max="8713" width="9.140625" style="2"/>
    <col min="8714" max="8714" width="22" style="2" bestFit="1" customWidth="1"/>
    <col min="8715" max="8715" width="9.140625" style="2"/>
    <col min="8716" max="8716" width="22" style="2" bestFit="1" customWidth="1"/>
    <col min="8717" max="8717" width="16.42578125" style="2" bestFit="1" customWidth="1"/>
    <col min="8718" max="8718" width="17.85546875" style="2" bestFit="1" customWidth="1"/>
    <col min="8719" max="8960" width="9.140625" style="2"/>
    <col min="8961" max="8961" width="5.5703125" style="2" customWidth="1"/>
    <col min="8962" max="8962" width="10.28515625" style="2" customWidth="1"/>
    <col min="8963" max="8963" width="17.140625" style="2" customWidth="1"/>
    <col min="8964" max="8964" width="43.28515625" style="2" customWidth="1"/>
    <col min="8965" max="8965" width="15" style="2" customWidth="1"/>
    <col min="8966" max="8966" width="18.28515625" style="2" customWidth="1"/>
    <col min="8967" max="8967" width="15.28515625" style="2" customWidth="1"/>
    <col min="8968" max="8968" width="19.85546875" style="2" customWidth="1"/>
    <col min="8969" max="8969" width="9.140625" style="2"/>
    <col min="8970" max="8970" width="22" style="2" bestFit="1" customWidth="1"/>
    <col min="8971" max="8971" width="9.140625" style="2"/>
    <col min="8972" max="8972" width="22" style="2" bestFit="1" customWidth="1"/>
    <col min="8973" max="8973" width="16.42578125" style="2" bestFit="1" customWidth="1"/>
    <col min="8974" max="8974" width="17.85546875" style="2" bestFit="1" customWidth="1"/>
    <col min="8975" max="9216" width="9.140625" style="2"/>
    <col min="9217" max="9217" width="5.5703125" style="2" customWidth="1"/>
    <col min="9218" max="9218" width="10.28515625" style="2" customWidth="1"/>
    <col min="9219" max="9219" width="17.140625" style="2" customWidth="1"/>
    <col min="9220" max="9220" width="43.28515625" style="2" customWidth="1"/>
    <col min="9221" max="9221" width="15" style="2" customWidth="1"/>
    <col min="9222" max="9222" width="18.28515625" style="2" customWidth="1"/>
    <col min="9223" max="9223" width="15.28515625" style="2" customWidth="1"/>
    <col min="9224" max="9224" width="19.85546875" style="2" customWidth="1"/>
    <col min="9225" max="9225" width="9.140625" style="2"/>
    <col min="9226" max="9226" width="22" style="2" bestFit="1" customWidth="1"/>
    <col min="9227" max="9227" width="9.140625" style="2"/>
    <col min="9228" max="9228" width="22" style="2" bestFit="1" customWidth="1"/>
    <col min="9229" max="9229" width="16.42578125" style="2" bestFit="1" customWidth="1"/>
    <col min="9230" max="9230" width="17.85546875" style="2" bestFit="1" customWidth="1"/>
    <col min="9231" max="9472" width="9.140625" style="2"/>
    <col min="9473" max="9473" width="5.5703125" style="2" customWidth="1"/>
    <col min="9474" max="9474" width="10.28515625" style="2" customWidth="1"/>
    <col min="9475" max="9475" width="17.140625" style="2" customWidth="1"/>
    <col min="9476" max="9476" width="43.28515625" style="2" customWidth="1"/>
    <col min="9477" max="9477" width="15" style="2" customWidth="1"/>
    <col min="9478" max="9478" width="18.28515625" style="2" customWidth="1"/>
    <col min="9479" max="9479" width="15.28515625" style="2" customWidth="1"/>
    <col min="9480" max="9480" width="19.85546875" style="2" customWidth="1"/>
    <col min="9481" max="9481" width="9.140625" style="2"/>
    <col min="9482" max="9482" width="22" style="2" bestFit="1" customWidth="1"/>
    <col min="9483" max="9483" width="9.140625" style="2"/>
    <col min="9484" max="9484" width="22" style="2" bestFit="1" customWidth="1"/>
    <col min="9485" max="9485" width="16.42578125" style="2" bestFit="1" customWidth="1"/>
    <col min="9486" max="9486" width="17.85546875" style="2" bestFit="1" customWidth="1"/>
    <col min="9487" max="9728" width="9.140625" style="2"/>
    <col min="9729" max="9729" width="5.5703125" style="2" customWidth="1"/>
    <col min="9730" max="9730" width="10.28515625" style="2" customWidth="1"/>
    <col min="9731" max="9731" width="17.140625" style="2" customWidth="1"/>
    <col min="9732" max="9732" width="43.28515625" style="2" customWidth="1"/>
    <col min="9733" max="9733" width="15" style="2" customWidth="1"/>
    <col min="9734" max="9734" width="18.28515625" style="2" customWidth="1"/>
    <col min="9735" max="9735" width="15.28515625" style="2" customWidth="1"/>
    <col min="9736" max="9736" width="19.85546875" style="2" customWidth="1"/>
    <col min="9737" max="9737" width="9.140625" style="2"/>
    <col min="9738" max="9738" width="22" style="2" bestFit="1" customWidth="1"/>
    <col min="9739" max="9739" width="9.140625" style="2"/>
    <col min="9740" max="9740" width="22" style="2" bestFit="1" customWidth="1"/>
    <col min="9741" max="9741" width="16.42578125" style="2" bestFit="1" customWidth="1"/>
    <col min="9742" max="9742" width="17.85546875" style="2" bestFit="1" customWidth="1"/>
    <col min="9743" max="9984" width="9.140625" style="2"/>
    <col min="9985" max="9985" width="5.5703125" style="2" customWidth="1"/>
    <col min="9986" max="9986" width="10.28515625" style="2" customWidth="1"/>
    <col min="9987" max="9987" width="17.140625" style="2" customWidth="1"/>
    <col min="9988" max="9988" width="43.28515625" style="2" customWidth="1"/>
    <col min="9989" max="9989" width="15" style="2" customWidth="1"/>
    <col min="9990" max="9990" width="18.28515625" style="2" customWidth="1"/>
    <col min="9991" max="9991" width="15.28515625" style="2" customWidth="1"/>
    <col min="9992" max="9992" width="19.85546875" style="2" customWidth="1"/>
    <col min="9993" max="9993" width="9.140625" style="2"/>
    <col min="9994" max="9994" width="22" style="2" bestFit="1" customWidth="1"/>
    <col min="9995" max="9995" width="9.140625" style="2"/>
    <col min="9996" max="9996" width="22" style="2" bestFit="1" customWidth="1"/>
    <col min="9997" max="9997" width="16.42578125" style="2" bestFit="1" customWidth="1"/>
    <col min="9998" max="9998" width="17.85546875" style="2" bestFit="1" customWidth="1"/>
    <col min="9999" max="10240" width="9.140625" style="2"/>
    <col min="10241" max="10241" width="5.5703125" style="2" customWidth="1"/>
    <col min="10242" max="10242" width="10.28515625" style="2" customWidth="1"/>
    <col min="10243" max="10243" width="17.140625" style="2" customWidth="1"/>
    <col min="10244" max="10244" width="43.28515625" style="2" customWidth="1"/>
    <col min="10245" max="10245" width="15" style="2" customWidth="1"/>
    <col min="10246" max="10246" width="18.28515625" style="2" customWidth="1"/>
    <col min="10247" max="10247" width="15.28515625" style="2" customWidth="1"/>
    <col min="10248" max="10248" width="19.85546875" style="2" customWidth="1"/>
    <col min="10249" max="10249" width="9.140625" style="2"/>
    <col min="10250" max="10250" width="22" style="2" bestFit="1" customWidth="1"/>
    <col min="10251" max="10251" width="9.140625" style="2"/>
    <col min="10252" max="10252" width="22" style="2" bestFit="1" customWidth="1"/>
    <col min="10253" max="10253" width="16.42578125" style="2" bestFit="1" customWidth="1"/>
    <col min="10254" max="10254" width="17.85546875" style="2" bestFit="1" customWidth="1"/>
    <col min="10255" max="10496" width="9.140625" style="2"/>
    <col min="10497" max="10497" width="5.5703125" style="2" customWidth="1"/>
    <col min="10498" max="10498" width="10.28515625" style="2" customWidth="1"/>
    <col min="10499" max="10499" width="17.140625" style="2" customWidth="1"/>
    <col min="10500" max="10500" width="43.28515625" style="2" customWidth="1"/>
    <col min="10501" max="10501" width="15" style="2" customWidth="1"/>
    <col min="10502" max="10502" width="18.28515625" style="2" customWidth="1"/>
    <col min="10503" max="10503" width="15.28515625" style="2" customWidth="1"/>
    <col min="10504" max="10504" width="19.85546875" style="2" customWidth="1"/>
    <col min="10505" max="10505" width="9.140625" style="2"/>
    <col min="10506" max="10506" width="22" style="2" bestFit="1" customWidth="1"/>
    <col min="10507" max="10507" width="9.140625" style="2"/>
    <col min="10508" max="10508" width="22" style="2" bestFit="1" customWidth="1"/>
    <col min="10509" max="10509" width="16.42578125" style="2" bestFit="1" customWidth="1"/>
    <col min="10510" max="10510" width="17.85546875" style="2" bestFit="1" customWidth="1"/>
    <col min="10511" max="10752" width="9.140625" style="2"/>
    <col min="10753" max="10753" width="5.5703125" style="2" customWidth="1"/>
    <col min="10754" max="10754" width="10.28515625" style="2" customWidth="1"/>
    <col min="10755" max="10755" width="17.140625" style="2" customWidth="1"/>
    <col min="10756" max="10756" width="43.28515625" style="2" customWidth="1"/>
    <col min="10757" max="10757" width="15" style="2" customWidth="1"/>
    <col min="10758" max="10758" width="18.28515625" style="2" customWidth="1"/>
    <col min="10759" max="10759" width="15.28515625" style="2" customWidth="1"/>
    <col min="10760" max="10760" width="19.85546875" style="2" customWidth="1"/>
    <col min="10761" max="10761" width="9.140625" style="2"/>
    <col min="10762" max="10762" width="22" style="2" bestFit="1" customWidth="1"/>
    <col min="10763" max="10763" width="9.140625" style="2"/>
    <col min="10764" max="10764" width="22" style="2" bestFit="1" customWidth="1"/>
    <col min="10765" max="10765" width="16.42578125" style="2" bestFit="1" customWidth="1"/>
    <col min="10766" max="10766" width="17.85546875" style="2" bestFit="1" customWidth="1"/>
    <col min="10767" max="11008" width="9.140625" style="2"/>
    <col min="11009" max="11009" width="5.5703125" style="2" customWidth="1"/>
    <col min="11010" max="11010" width="10.28515625" style="2" customWidth="1"/>
    <col min="11011" max="11011" width="17.140625" style="2" customWidth="1"/>
    <col min="11012" max="11012" width="43.28515625" style="2" customWidth="1"/>
    <col min="11013" max="11013" width="15" style="2" customWidth="1"/>
    <col min="11014" max="11014" width="18.28515625" style="2" customWidth="1"/>
    <col min="11015" max="11015" width="15.28515625" style="2" customWidth="1"/>
    <col min="11016" max="11016" width="19.85546875" style="2" customWidth="1"/>
    <col min="11017" max="11017" width="9.140625" style="2"/>
    <col min="11018" max="11018" width="22" style="2" bestFit="1" customWidth="1"/>
    <col min="11019" max="11019" width="9.140625" style="2"/>
    <col min="11020" max="11020" width="22" style="2" bestFit="1" customWidth="1"/>
    <col min="11021" max="11021" width="16.42578125" style="2" bestFit="1" customWidth="1"/>
    <col min="11022" max="11022" width="17.85546875" style="2" bestFit="1" customWidth="1"/>
    <col min="11023" max="11264" width="9.140625" style="2"/>
    <col min="11265" max="11265" width="5.5703125" style="2" customWidth="1"/>
    <col min="11266" max="11266" width="10.28515625" style="2" customWidth="1"/>
    <col min="11267" max="11267" width="17.140625" style="2" customWidth="1"/>
    <col min="11268" max="11268" width="43.28515625" style="2" customWidth="1"/>
    <col min="11269" max="11269" width="15" style="2" customWidth="1"/>
    <col min="11270" max="11270" width="18.28515625" style="2" customWidth="1"/>
    <col min="11271" max="11271" width="15.28515625" style="2" customWidth="1"/>
    <col min="11272" max="11272" width="19.85546875" style="2" customWidth="1"/>
    <col min="11273" max="11273" width="9.140625" style="2"/>
    <col min="11274" max="11274" width="22" style="2" bestFit="1" customWidth="1"/>
    <col min="11275" max="11275" width="9.140625" style="2"/>
    <col min="11276" max="11276" width="22" style="2" bestFit="1" customWidth="1"/>
    <col min="11277" max="11277" width="16.42578125" style="2" bestFit="1" customWidth="1"/>
    <col min="11278" max="11278" width="17.85546875" style="2" bestFit="1" customWidth="1"/>
    <col min="11279" max="11520" width="9.140625" style="2"/>
    <col min="11521" max="11521" width="5.5703125" style="2" customWidth="1"/>
    <col min="11522" max="11522" width="10.28515625" style="2" customWidth="1"/>
    <col min="11523" max="11523" width="17.140625" style="2" customWidth="1"/>
    <col min="11524" max="11524" width="43.28515625" style="2" customWidth="1"/>
    <col min="11525" max="11525" width="15" style="2" customWidth="1"/>
    <col min="11526" max="11526" width="18.28515625" style="2" customWidth="1"/>
    <col min="11527" max="11527" width="15.28515625" style="2" customWidth="1"/>
    <col min="11528" max="11528" width="19.85546875" style="2" customWidth="1"/>
    <col min="11529" max="11529" width="9.140625" style="2"/>
    <col min="11530" max="11530" width="22" style="2" bestFit="1" customWidth="1"/>
    <col min="11531" max="11531" width="9.140625" style="2"/>
    <col min="11532" max="11532" width="22" style="2" bestFit="1" customWidth="1"/>
    <col min="11533" max="11533" width="16.42578125" style="2" bestFit="1" customWidth="1"/>
    <col min="11534" max="11534" width="17.85546875" style="2" bestFit="1" customWidth="1"/>
    <col min="11535" max="11776" width="9.140625" style="2"/>
    <col min="11777" max="11777" width="5.5703125" style="2" customWidth="1"/>
    <col min="11778" max="11778" width="10.28515625" style="2" customWidth="1"/>
    <col min="11779" max="11779" width="17.140625" style="2" customWidth="1"/>
    <col min="11780" max="11780" width="43.28515625" style="2" customWidth="1"/>
    <col min="11781" max="11781" width="15" style="2" customWidth="1"/>
    <col min="11782" max="11782" width="18.28515625" style="2" customWidth="1"/>
    <col min="11783" max="11783" width="15.28515625" style="2" customWidth="1"/>
    <col min="11784" max="11784" width="19.85546875" style="2" customWidth="1"/>
    <col min="11785" max="11785" width="9.140625" style="2"/>
    <col min="11786" max="11786" width="22" style="2" bestFit="1" customWidth="1"/>
    <col min="11787" max="11787" width="9.140625" style="2"/>
    <col min="11788" max="11788" width="22" style="2" bestFit="1" customWidth="1"/>
    <col min="11789" max="11789" width="16.42578125" style="2" bestFit="1" customWidth="1"/>
    <col min="11790" max="11790" width="17.85546875" style="2" bestFit="1" customWidth="1"/>
    <col min="11791" max="12032" width="9.140625" style="2"/>
    <col min="12033" max="12033" width="5.5703125" style="2" customWidth="1"/>
    <col min="12034" max="12034" width="10.28515625" style="2" customWidth="1"/>
    <col min="12035" max="12035" width="17.140625" style="2" customWidth="1"/>
    <col min="12036" max="12036" width="43.28515625" style="2" customWidth="1"/>
    <col min="12037" max="12037" width="15" style="2" customWidth="1"/>
    <col min="12038" max="12038" width="18.28515625" style="2" customWidth="1"/>
    <col min="12039" max="12039" width="15.28515625" style="2" customWidth="1"/>
    <col min="12040" max="12040" width="19.85546875" style="2" customWidth="1"/>
    <col min="12041" max="12041" width="9.140625" style="2"/>
    <col min="12042" max="12042" width="22" style="2" bestFit="1" customWidth="1"/>
    <col min="12043" max="12043" width="9.140625" style="2"/>
    <col min="12044" max="12044" width="22" style="2" bestFit="1" customWidth="1"/>
    <col min="12045" max="12045" width="16.42578125" style="2" bestFit="1" customWidth="1"/>
    <col min="12046" max="12046" width="17.85546875" style="2" bestFit="1" customWidth="1"/>
    <col min="12047" max="12288" width="9.140625" style="2"/>
    <col min="12289" max="12289" width="5.5703125" style="2" customWidth="1"/>
    <col min="12290" max="12290" width="10.28515625" style="2" customWidth="1"/>
    <col min="12291" max="12291" width="17.140625" style="2" customWidth="1"/>
    <col min="12292" max="12292" width="43.28515625" style="2" customWidth="1"/>
    <col min="12293" max="12293" width="15" style="2" customWidth="1"/>
    <col min="12294" max="12294" width="18.28515625" style="2" customWidth="1"/>
    <col min="12295" max="12295" width="15.28515625" style="2" customWidth="1"/>
    <col min="12296" max="12296" width="19.85546875" style="2" customWidth="1"/>
    <col min="12297" max="12297" width="9.140625" style="2"/>
    <col min="12298" max="12298" width="22" style="2" bestFit="1" customWidth="1"/>
    <col min="12299" max="12299" width="9.140625" style="2"/>
    <col min="12300" max="12300" width="22" style="2" bestFit="1" customWidth="1"/>
    <col min="12301" max="12301" width="16.42578125" style="2" bestFit="1" customWidth="1"/>
    <col min="12302" max="12302" width="17.85546875" style="2" bestFit="1" customWidth="1"/>
    <col min="12303" max="12544" width="9.140625" style="2"/>
    <col min="12545" max="12545" width="5.5703125" style="2" customWidth="1"/>
    <col min="12546" max="12546" width="10.28515625" style="2" customWidth="1"/>
    <col min="12547" max="12547" width="17.140625" style="2" customWidth="1"/>
    <col min="12548" max="12548" width="43.28515625" style="2" customWidth="1"/>
    <col min="12549" max="12549" width="15" style="2" customWidth="1"/>
    <col min="12550" max="12550" width="18.28515625" style="2" customWidth="1"/>
    <col min="12551" max="12551" width="15.28515625" style="2" customWidth="1"/>
    <col min="12552" max="12552" width="19.85546875" style="2" customWidth="1"/>
    <col min="12553" max="12553" width="9.140625" style="2"/>
    <col min="12554" max="12554" width="22" style="2" bestFit="1" customWidth="1"/>
    <col min="12555" max="12555" width="9.140625" style="2"/>
    <col min="12556" max="12556" width="22" style="2" bestFit="1" customWidth="1"/>
    <col min="12557" max="12557" width="16.42578125" style="2" bestFit="1" customWidth="1"/>
    <col min="12558" max="12558" width="17.85546875" style="2" bestFit="1" customWidth="1"/>
    <col min="12559" max="12800" width="9.140625" style="2"/>
    <col min="12801" max="12801" width="5.5703125" style="2" customWidth="1"/>
    <col min="12802" max="12802" width="10.28515625" style="2" customWidth="1"/>
    <col min="12803" max="12803" width="17.140625" style="2" customWidth="1"/>
    <col min="12804" max="12804" width="43.28515625" style="2" customWidth="1"/>
    <col min="12805" max="12805" width="15" style="2" customWidth="1"/>
    <col min="12806" max="12806" width="18.28515625" style="2" customWidth="1"/>
    <col min="12807" max="12807" width="15.28515625" style="2" customWidth="1"/>
    <col min="12808" max="12808" width="19.85546875" style="2" customWidth="1"/>
    <col min="12809" max="12809" width="9.140625" style="2"/>
    <col min="12810" max="12810" width="22" style="2" bestFit="1" customWidth="1"/>
    <col min="12811" max="12811" width="9.140625" style="2"/>
    <col min="12812" max="12812" width="22" style="2" bestFit="1" customWidth="1"/>
    <col min="12813" max="12813" width="16.42578125" style="2" bestFit="1" customWidth="1"/>
    <col min="12814" max="12814" width="17.85546875" style="2" bestFit="1" customWidth="1"/>
    <col min="12815" max="13056" width="9.140625" style="2"/>
    <col min="13057" max="13057" width="5.5703125" style="2" customWidth="1"/>
    <col min="13058" max="13058" width="10.28515625" style="2" customWidth="1"/>
    <col min="13059" max="13059" width="17.140625" style="2" customWidth="1"/>
    <col min="13060" max="13060" width="43.28515625" style="2" customWidth="1"/>
    <col min="13061" max="13061" width="15" style="2" customWidth="1"/>
    <col min="13062" max="13062" width="18.28515625" style="2" customWidth="1"/>
    <col min="13063" max="13063" width="15.28515625" style="2" customWidth="1"/>
    <col min="13064" max="13064" width="19.85546875" style="2" customWidth="1"/>
    <col min="13065" max="13065" width="9.140625" style="2"/>
    <col min="13066" max="13066" width="22" style="2" bestFit="1" customWidth="1"/>
    <col min="13067" max="13067" width="9.140625" style="2"/>
    <col min="13068" max="13068" width="22" style="2" bestFit="1" customWidth="1"/>
    <col min="13069" max="13069" width="16.42578125" style="2" bestFit="1" customWidth="1"/>
    <col min="13070" max="13070" width="17.85546875" style="2" bestFit="1" customWidth="1"/>
    <col min="13071" max="13312" width="9.140625" style="2"/>
    <col min="13313" max="13313" width="5.5703125" style="2" customWidth="1"/>
    <col min="13314" max="13314" width="10.28515625" style="2" customWidth="1"/>
    <col min="13315" max="13315" width="17.140625" style="2" customWidth="1"/>
    <col min="13316" max="13316" width="43.28515625" style="2" customWidth="1"/>
    <col min="13317" max="13317" width="15" style="2" customWidth="1"/>
    <col min="13318" max="13318" width="18.28515625" style="2" customWidth="1"/>
    <col min="13319" max="13319" width="15.28515625" style="2" customWidth="1"/>
    <col min="13320" max="13320" width="19.85546875" style="2" customWidth="1"/>
    <col min="13321" max="13321" width="9.140625" style="2"/>
    <col min="13322" max="13322" width="22" style="2" bestFit="1" customWidth="1"/>
    <col min="13323" max="13323" width="9.140625" style="2"/>
    <col min="13324" max="13324" width="22" style="2" bestFit="1" customWidth="1"/>
    <col min="13325" max="13325" width="16.42578125" style="2" bestFit="1" customWidth="1"/>
    <col min="13326" max="13326" width="17.85546875" style="2" bestFit="1" customWidth="1"/>
    <col min="13327" max="13568" width="9.140625" style="2"/>
    <col min="13569" max="13569" width="5.5703125" style="2" customWidth="1"/>
    <col min="13570" max="13570" width="10.28515625" style="2" customWidth="1"/>
    <col min="13571" max="13571" width="17.140625" style="2" customWidth="1"/>
    <col min="13572" max="13572" width="43.28515625" style="2" customWidth="1"/>
    <col min="13573" max="13573" width="15" style="2" customWidth="1"/>
    <col min="13574" max="13574" width="18.28515625" style="2" customWidth="1"/>
    <col min="13575" max="13575" width="15.28515625" style="2" customWidth="1"/>
    <col min="13576" max="13576" width="19.85546875" style="2" customWidth="1"/>
    <col min="13577" max="13577" width="9.140625" style="2"/>
    <col min="13578" max="13578" width="22" style="2" bestFit="1" customWidth="1"/>
    <col min="13579" max="13579" width="9.140625" style="2"/>
    <col min="13580" max="13580" width="22" style="2" bestFit="1" customWidth="1"/>
    <col min="13581" max="13581" width="16.42578125" style="2" bestFit="1" customWidth="1"/>
    <col min="13582" max="13582" width="17.85546875" style="2" bestFit="1" customWidth="1"/>
    <col min="13583" max="13824" width="9.140625" style="2"/>
    <col min="13825" max="13825" width="5.5703125" style="2" customWidth="1"/>
    <col min="13826" max="13826" width="10.28515625" style="2" customWidth="1"/>
    <col min="13827" max="13827" width="17.140625" style="2" customWidth="1"/>
    <col min="13828" max="13828" width="43.28515625" style="2" customWidth="1"/>
    <col min="13829" max="13829" width="15" style="2" customWidth="1"/>
    <col min="13830" max="13830" width="18.28515625" style="2" customWidth="1"/>
    <col min="13831" max="13831" width="15.28515625" style="2" customWidth="1"/>
    <col min="13832" max="13832" width="19.85546875" style="2" customWidth="1"/>
    <col min="13833" max="13833" width="9.140625" style="2"/>
    <col min="13834" max="13834" width="22" style="2" bestFit="1" customWidth="1"/>
    <col min="13835" max="13835" width="9.140625" style="2"/>
    <col min="13836" max="13836" width="22" style="2" bestFit="1" customWidth="1"/>
    <col min="13837" max="13837" width="16.42578125" style="2" bestFit="1" customWidth="1"/>
    <col min="13838" max="13838" width="17.85546875" style="2" bestFit="1" customWidth="1"/>
    <col min="13839" max="14080" width="9.140625" style="2"/>
    <col min="14081" max="14081" width="5.5703125" style="2" customWidth="1"/>
    <col min="14082" max="14082" width="10.28515625" style="2" customWidth="1"/>
    <col min="14083" max="14083" width="17.140625" style="2" customWidth="1"/>
    <col min="14084" max="14084" width="43.28515625" style="2" customWidth="1"/>
    <col min="14085" max="14085" width="15" style="2" customWidth="1"/>
    <col min="14086" max="14086" width="18.28515625" style="2" customWidth="1"/>
    <col min="14087" max="14087" width="15.28515625" style="2" customWidth="1"/>
    <col min="14088" max="14088" width="19.85546875" style="2" customWidth="1"/>
    <col min="14089" max="14089" width="9.140625" style="2"/>
    <col min="14090" max="14090" width="22" style="2" bestFit="1" customWidth="1"/>
    <col min="14091" max="14091" width="9.140625" style="2"/>
    <col min="14092" max="14092" width="22" style="2" bestFit="1" customWidth="1"/>
    <col min="14093" max="14093" width="16.42578125" style="2" bestFit="1" customWidth="1"/>
    <col min="14094" max="14094" width="17.85546875" style="2" bestFit="1" customWidth="1"/>
    <col min="14095" max="14336" width="9.140625" style="2"/>
    <col min="14337" max="14337" width="5.5703125" style="2" customWidth="1"/>
    <col min="14338" max="14338" width="10.28515625" style="2" customWidth="1"/>
    <col min="14339" max="14339" width="17.140625" style="2" customWidth="1"/>
    <col min="14340" max="14340" width="43.28515625" style="2" customWidth="1"/>
    <col min="14341" max="14341" width="15" style="2" customWidth="1"/>
    <col min="14342" max="14342" width="18.28515625" style="2" customWidth="1"/>
    <col min="14343" max="14343" width="15.28515625" style="2" customWidth="1"/>
    <col min="14344" max="14344" width="19.85546875" style="2" customWidth="1"/>
    <col min="14345" max="14345" width="9.140625" style="2"/>
    <col min="14346" max="14346" width="22" style="2" bestFit="1" customWidth="1"/>
    <col min="14347" max="14347" width="9.140625" style="2"/>
    <col min="14348" max="14348" width="22" style="2" bestFit="1" customWidth="1"/>
    <col min="14349" max="14349" width="16.42578125" style="2" bestFit="1" customWidth="1"/>
    <col min="14350" max="14350" width="17.85546875" style="2" bestFit="1" customWidth="1"/>
    <col min="14351" max="14592" width="9.140625" style="2"/>
    <col min="14593" max="14593" width="5.5703125" style="2" customWidth="1"/>
    <col min="14594" max="14594" width="10.28515625" style="2" customWidth="1"/>
    <col min="14595" max="14595" width="17.140625" style="2" customWidth="1"/>
    <col min="14596" max="14596" width="43.28515625" style="2" customWidth="1"/>
    <col min="14597" max="14597" width="15" style="2" customWidth="1"/>
    <col min="14598" max="14598" width="18.28515625" style="2" customWidth="1"/>
    <col min="14599" max="14599" width="15.28515625" style="2" customWidth="1"/>
    <col min="14600" max="14600" width="19.85546875" style="2" customWidth="1"/>
    <col min="14601" max="14601" width="9.140625" style="2"/>
    <col min="14602" max="14602" width="22" style="2" bestFit="1" customWidth="1"/>
    <col min="14603" max="14603" width="9.140625" style="2"/>
    <col min="14604" max="14604" width="22" style="2" bestFit="1" customWidth="1"/>
    <col min="14605" max="14605" width="16.42578125" style="2" bestFit="1" customWidth="1"/>
    <col min="14606" max="14606" width="17.85546875" style="2" bestFit="1" customWidth="1"/>
    <col min="14607" max="14848" width="9.140625" style="2"/>
    <col min="14849" max="14849" width="5.5703125" style="2" customWidth="1"/>
    <col min="14850" max="14850" width="10.28515625" style="2" customWidth="1"/>
    <col min="14851" max="14851" width="17.140625" style="2" customWidth="1"/>
    <col min="14852" max="14852" width="43.28515625" style="2" customWidth="1"/>
    <col min="14853" max="14853" width="15" style="2" customWidth="1"/>
    <col min="14854" max="14854" width="18.28515625" style="2" customWidth="1"/>
    <col min="14855" max="14855" width="15.28515625" style="2" customWidth="1"/>
    <col min="14856" max="14856" width="19.85546875" style="2" customWidth="1"/>
    <col min="14857" max="14857" width="9.140625" style="2"/>
    <col min="14858" max="14858" width="22" style="2" bestFit="1" customWidth="1"/>
    <col min="14859" max="14859" width="9.140625" style="2"/>
    <col min="14860" max="14860" width="22" style="2" bestFit="1" customWidth="1"/>
    <col min="14861" max="14861" width="16.42578125" style="2" bestFit="1" customWidth="1"/>
    <col min="14862" max="14862" width="17.85546875" style="2" bestFit="1" customWidth="1"/>
    <col min="14863" max="15104" width="9.140625" style="2"/>
    <col min="15105" max="15105" width="5.5703125" style="2" customWidth="1"/>
    <col min="15106" max="15106" width="10.28515625" style="2" customWidth="1"/>
    <col min="15107" max="15107" width="17.140625" style="2" customWidth="1"/>
    <col min="15108" max="15108" width="43.28515625" style="2" customWidth="1"/>
    <col min="15109" max="15109" width="15" style="2" customWidth="1"/>
    <col min="15110" max="15110" width="18.28515625" style="2" customWidth="1"/>
    <col min="15111" max="15111" width="15.28515625" style="2" customWidth="1"/>
    <col min="15112" max="15112" width="19.85546875" style="2" customWidth="1"/>
    <col min="15113" max="15113" width="9.140625" style="2"/>
    <col min="15114" max="15114" width="22" style="2" bestFit="1" customWidth="1"/>
    <col min="15115" max="15115" width="9.140625" style="2"/>
    <col min="15116" max="15116" width="22" style="2" bestFit="1" customWidth="1"/>
    <col min="15117" max="15117" width="16.42578125" style="2" bestFit="1" customWidth="1"/>
    <col min="15118" max="15118" width="17.85546875" style="2" bestFit="1" customWidth="1"/>
    <col min="15119" max="15360" width="9.140625" style="2"/>
    <col min="15361" max="15361" width="5.5703125" style="2" customWidth="1"/>
    <col min="15362" max="15362" width="10.28515625" style="2" customWidth="1"/>
    <col min="15363" max="15363" width="17.140625" style="2" customWidth="1"/>
    <col min="15364" max="15364" width="43.28515625" style="2" customWidth="1"/>
    <col min="15365" max="15365" width="15" style="2" customWidth="1"/>
    <col min="15366" max="15366" width="18.28515625" style="2" customWidth="1"/>
    <col min="15367" max="15367" width="15.28515625" style="2" customWidth="1"/>
    <col min="15368" max="15368" width="19.85546875" style="2" customWidth="1"/>
    <col min="15369" max="15369" width="9.140625" style="2"/>
    <col min="15370" max="15370" width="22" style="2" bestFit="1" customWidth="1"/>
    <col min="15371" max="15371" width="9.140625" style="2"/>
    <col min="15372" max="15372" width="22" style="2" bestFit="1" customWidth="1"/>
    <col min="15373" max="15373" width="16.42578125" style="2" bestFit="1" customWidth="1"/>
    <col min="15374" max="15374" width="17.85546875" style="2" bestFit="1" customWidth="1"/>
    <col min="15375" max="15616" width="9.140625" style="2"/>
    <col min="15617" max="15617" width="5.5703125" style="2" customWidth="1"/>
    <col min="15618" max="15618" width="10.28515625" style="2" customWidth="1"/>
    <col min="15619" max="15619" width="17.140625" style="2" customWidth="1"/>
    <col min="15620" max="15620" width="43.28515625" style="2" customWidth="1"/>
    <col min="15621" max="15621" width="15" style="2" customWidth="1"/>
    <col min="15622" max="15622" width="18.28515625" style="2" customWidth="1"/>
    <col min="15623" max="15623" width="15.28515625" style="2" customWidth="1"/>
    <col min="15624" max="15624" width="19.85546875" style="2" customWidth="1"/>
    <col min="15625" max="15625" width="9.140625" style="2"/>
    <col min="15626" max="15626" width="22" style="2" bestFit="1" customWidth="1"/>
    <col min="15627" max="15627" width="9.140625" style="2"/>
    <col min="15628" max="15628" width="22" style="2" bestFit="1" customWidth="1"/>
    <col min="15629" max="15629" width="16.42578125" style="2" bestFit="1" customWidth="1"/>
    <col min="15630" max="15630" width="17.85546875" style="2" bestFit="1" customWidth="1"/>
    <col min="15631" max="15872" width="9.140625" style="2"/>
    <col min="15873" max="15873" width="5.5703125" style="2" customWidth="1"/>
    <col min="15874" max="15874" width="10.28515625" style="2" customWidth="1"/>
    <col min="15875" max="15875" width="17.140625" style="2" customWidth="1"/>
    <col min="15876" max="15876" width="43.28515625" style="2" customWidth="1"/>
    <col min="15877" max="15877" width="15" style="2" customWidth="1"/>
    <col min="15878" max="15878" width="18.28515625" style="2" customWidth="1"/>
    <col min="15879" max="15879" width="15.28515625" style="2" customWidth="1"/>
    <col min="15880" max="15880" width="19.85546875" style="2" customWidth="1"/>
    <col min="15881" max="15881" width="9.140625" style="2"/>
    <col min="15882" max="15882" width="22" style="2" bestFit="1" customWidth="1"/>
    <col min="15883" max="15883" width="9.140625" style="2"/>
    <col min="15884" max="15884" width="22" style="2" bestFit="1" customWidth="1"/>
    <col min="15885" max="15885" width="16.42578125" style="2" bestFit="1" customWidth="1"/>
    <col min="15886" max="15886" width="17.85546875" style="2" bestFit="1" customWidth="1"/>
    <col min="15887" max="16128" width="9.140625" style="2"/>
    <col min="16129" max="16129" width="5.5703125" style="2" customWidth="1"/>
    <col min="16130" max="16130" width="10.28515625" style="2" customWidth="1"/>
    <col min="16131" max="16131" width="17.140625" style="2" customWidth="1"/>
    <col min="16132" max="16132" width="43.28515625" style="2" customWidth="1"/>
    <col min="16133" max="16133" width="15" style="2" customWidth="1"/>
    <col min="16134" max="16134" width="18.28515625" style="2" customWidth="1"/>
    <col min="16135" max="16135" width="15.28515625" style="2" customWidth="1"/>
    <col min="16136" max="16136" width="19.85546875" style="2" customWidth="1"/>
    <col min="16137" max="16137" width="9.140625" style="2"/>
    <col min="16138" max="16138" width="22" style="2" bestFit="1" customWidth="1"/>
    <col min="16139" max="16139" width="9.140625" style="2"/>
    <col min="16140" max="16140" width="22" style="2" bestFit="1" customWidth="1"/>
    <col min="16141" max="16141" width="16.42578125" style="2" bestFit="1" customWidth="1"/>
    <col min="16142" max="16142" width="17.85546875" style="2" bestFit="1" customWidth="1"/>
    <col min="16143" max="16384" width="9.140625" style="2"/>
  </cols>
  <sheetData>
    <row r="1" spans="1:12" s="1" customFormat="1" ht="18.75">
      <c r="A1" s="127" t="s">
        <v>48</v>
      </c>
      <c r="B1" s="127"/>
      <c r="C1" s="127"/>
      <c r="D1" s="127"/>
      <c r="E1" s="127"/>
      <c r="F1" s="127"/>
      <c r="G1" s="127"/>
      <c r="H1" s="127"/>
    </row>
    <row r="2" spans="1:12" ht="16.5" thickBot="1"/>
    <row r="3" spans="1:12" s="8" customFormat="1" ht="84" customHeight="1" thickBot="1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J3" s="128" t="s">
        <v>9</v>
      </c>
      <c r="K3" s="129"/>
      <c r="L3" s="129"/>
    </row>
    <row r="4" spans="1:12" ht="15.75" customHeight="1">
      <c r="A4" s="130">
        <v>1</v>
      </c>
      <c r="B4" s="155" t="s">
        <v>49</v>
      </c>
      <c r="C4" s="136" t="s">
        <v>11</v>
      </c>
      <c r="D4" s="9" t="s">
        <v>12</v>
      </c>
      <c r="E4" s="10" t="s">
        <v>13</v>
      </c>
      <c r="F4" s="12">
        <v>10.55</v>
      </c>
      <c r="G4" s="66">
        <v>172429.39</v>
      </c>
      <c r="H4" s="13">
        <f>F4*G4</f>
        <v>1819130.0645000003</v>
      </c>
    </row>
    <row r="5" spans="1:12" ht="20.25" customHeight="1">
      <c r="A5" s="131"/>
      <c r="B5" s="156"/>
      <c r="C5" s="137"/>
      <c r="D5" s="19" t="s">
        <v>16</v>
      </c>
      <c r="E5" s="20" t="s">
        <v>15</v>
      </c>
      <c r="F5" s="16">
        <v>5111.1490000000003</v>
      </c>
      <c r="G5" s="70">
        <v>164.94</v>
      </c>
      <c r="H5" s="18">
        <f>F5*G5</f>
        <v>843032.91606000008</v>
      </c>
    </row>
    <row r="6" spans="1:12" ht="16.5" customHeight="1">
      <c r="A6" s="131"/>
      <c r="B6" s="156"/>
      <c r="C6" s="137"/>
      <c r="D6" s="19" t="s">
        <v>17</v>
      </c>
      <c r="E6" s="20" t="s">
        <v>15</v>
      </c>
      <c r="F6" s="71">
        <v>272.20600000000002</v>
      </c>
      <c r="G6" s="70">
        <v>164.94</v>
      </c>
      <c r="H6" s="18">
        <f>F6*G6</f>
        <v>44897.657640000005</v>
      </c>
    </row>
    <row r="7" spans="1:12">
      <c r="A7" s="131"/>
      <c r="B7" s="156"/>
      <c r="C7" s="137"/>
      <c r="D7" s="19" t="s">
        <v>18</v>
      </c>
      <c r="E7" s="20" t="s">
        <v>15</v>
      </c>
      <c r="F7" s="71">
        <v>568.88499999999999</v>
      </c>
      <c r="G7" s="70">
        <v>164.94</v>
      </c>
      <c r="H7" s="18">
        <f>F7*G7</f>
        <v>93831.891900000002</v>
      </c>
    </row>
    <row r="8" spans="1:12">
      <c r="A8" s="131"/>
      <c r="B8" s="156"/>
      <c r="C8" s="137"/>
      <c r="D8" s="22" t="s">
        <v>19</v>
      </c>
      <c r="E8" s="23"/>
      <c r="F8" s="72">
        <f>F4</f>
        <v>10.55</v>
      </c>
      <c r="G8" s="72"/>
      <c r="H8" s="73">
        <f>H4</f>
        <v>1819130.0645000003</v>
      </c>
    </row>
    <row r="9" spans="1:12" ht="16.5" thickBot="1">
      <c r="A9" s="154"/>
      <c r="B9" s="157"/>
      <c r="C9" s="146"/>
      <c r="D9" s="68" t="s">
        <v>20</v>
      </c>
      <c r="E9" s="69"/>
      <c r="F9" s="74">
        <f>F5+F6+F7</f>
        <v>5952.2400000000007</v>
      </c>
      <c r="G9" s="75"/>
      <c r="H9" s="76">
        <f>H5+H6+H7</f>
        <v>981762.46560000011</v>
      </c>
    </row>
    <row r="10" spans="1:12" ht="16.5" customHeight="1">
      <c r="A10" s="140">
        <v>2</v>
      </c>
      <c r="B10" s="148" t="s">
        <v>21</v>
      </c>
      <c r="C10" s="151" t="s">
        <v>11</v>
      </c>
      <c r="D10" s="9" t="s">
        <v>12</v>
      </c>
      <c r="E10" s="10" t="s">
        <v>13</v>
      </c>
      <c r="F10" s="66">
        <v>10.55</v>
      </c>
      <c r="G10" s="66">
        <v>172429.39</v>
      </c>
      <c r="H10" s="13">
        <f>F10*G10</f>
        <v>1819130.0645000003</v>
      </c>
    </row>
    <row r="11" spans="1:12" ht="21.75" customHeight="1">
      <c r="A11" s="141"/>
      <c r="B11" s="149"/>
      <c r="C11" s="152"/>
      <c r="D11" s="19" t="s">
        <v>16</v>
      </c>
      <c r="E11" s="20" t="s">
        <v>15</v>
      </c>
      <c r="F11" s="71">
        <v>4569.3040000000001</v>
      </c>
      <c r="G11" s="70">
        <v>164.94</v>
      </c>
      <c r="H11" s="18">
        <f>F11*G11</f>
        <v>753661.00176000001</v>
      </c>
    </row>
    <row r="12" spans="1:12" ht="21.75" customHeight="1">
      <c r="A12" s="141"/>
      <c r="B12" s="149"/>
      <c r="C12" s="152"/>
      <c r="D12" s="19" t="s">
        <v>17</v>
      </c>
      <c r="E12" s="20" t="s">
        <v>15</v>
      </c>
      <c r="F12" s="71">
        <v>254.523</v>
      </c>
      <c r="G12" s="70">
        <v>164.94</v>
      </c>
      <c r="H12" s="18">
        <f>F12*G12</f>
        <v>41981.02362</v>
      </c>
    </row>
    <row r="13" spans="1:12">
      <c r="A13" s="141"/>
      <c r="B13" s="149"/>
      <c r="C13" s="152"/>
      <c r="D13" s="19" t="s">
        <v>18</v>
      </c>
      <c r="E13" s="20" t="s">
        <v>15</v>
      </c>
      <c r="F13" s="71">
        <v>604.197</v>
      </c>
      <c r="G13" s="70">
        <v>164.94</v>
      </c>
      <c r="H13" s="18">
        <f>F13*G13</f>
        <v>99656.25318</v>
      </c>
    </row>
    <row r="14" spans="1:12">
      <c r="A14" s="141"/>
      <c r="B14" s="149"/>
      <c r="C14" s="152"/>
      <c r="D14" s="22" t="s">
        <v>19</v>
      </c>
      <c r="E14" s="23"/>
      <c r="F14" s="72">
        <f>F10</f>
        <v>10.55</v>
      </c>
      <c r="G14" s="72"/>
      <c r="H14" s="73">
        <f>H10</f>
        <v>1819130.0645000003</v>
      </c>
    </row>
    <row r="15" spans="1:12" ht="16.5" thickBot="1">
      <c r="A15" s="147"/>
      <c r="B15" s="150"/>
      <c r="C15" s="153"/>
      <c r="D15" s="28" t="s">
        <v>20</v>
      </c>
      <c r="E15" s="29"/>
      <c r="F15" s="74">
        <f>F11+F12+F13</f>
        <v>5428.0240000000003</v>
      </c>
      <c r="G15" s="75"/>
      <c r="H15" s="76">
        <f>H11+H12+H13</f>
        <v>895298.27856000001</v>
      </c>
    </row>
    <row r="16" spans="1:12" ht="16.5" customHeight="1">
      <c r="A16" s="140">
        <v>3</v>
      </c>
      <c r="B16" s="148" t="s">
        <v>47</v>
      </c>
      <c r="C16" s="151" t="s">
        <v>11</v>
      </c>
      <c r="D16" s="9" t="s">
        <v>12</v>
      </c>
      <c r="E16" s="10" t="s">
        <v>13</v>
      </c>
      <c r="F16" s="66">
        <v>10.55</v>
      </c>
      <c r="G16" s="66">
        <v>172429.39</v>
      </c>
      <c r="H16" s="13">
        <f>F16*G16</f>
        <v>1819130.0645000003</v>
      </c>
    </row>
    <row r="17" spans="1:8" ht="25.5">
      <c r="A17" s="141"/>
      <c r="B17" s="149"/>
      <c r="C17" s="152"/>
      <c r="D17" s="19" t="s">
        <v>16</v>
      </c>
      <c r="E17" s="20" t="s">
        <v>15</v>
      </c>
      <c r="F17" s="71">
        <v>4696.2730000000001</v>
      </c>
      <c r="G17" s="70">
        <v>164.94</v>
      </c>
      <c r="H17" s="18">
        <f>F17*G17</f>
        <v>774603.26861999999</v>
      </c>
    </row>
    <row r="18" spans="1:8" ht="25.5">
      <c r="A18" s="141"/>
      <c r="B18" s="149"/>
      <c r="C18" s="152"/>
      <c r="D18" s="19" t="s">
        <v>17</v>
      </c>
      <c r="E18" s="20" t="s">
        <v>15</v>
      </c>
      <c r="F18" s="71">
        <v>264.25400000000002</v>
      </c>
      <c r="G18" s="70">
        <v>164.94</v>
      </c>
      <c r="H18" s="18">
        <f>F18*G18</f>
        <v>43586.054759999999</v>
      </c>
    </row>
    <row r="19" spans="1:8">
      <c r="A19" s="141"/>
      <c r="B19" s="149"/>
      <c r="C19" s="152"/>
      <c r="D19" s="19" t="s">
        <v>18</v>
      </c>
      <c r="E19" s="20" t="s">
        <v>15</v>
      </c>
      <c r="F19" s="71">
        <v>553.08399999999995</v>
      </c>
      <c r="G19" s="70">
        <v>164.94</v>
      </c>
      <c r="H19" s="18">
        <f>F19*G19</f>
        <v>91225.674959999989</v>
      </c>
    </row>
    <row r="20" spans="1:8">
      <c r="A20" s="141"/>
      <c r="B20" s="149"/>
      <c r="C20" s="152"/>
      <c r="D20" s="22" t="s">
        <v>19</v>
      </c>
      <c r="E20" s="23"/>
      <c r="F20" s="72">
        <f>F16</f>
        <v>10.55</v>
      </c>
      <c r="G20" s="72"/>
      <c r="H20" s="73">
        <f>H16</f>
        <v>1819130.0645000003</v>
      </c>
    </row>
    <row r="21" spans="1:8" ht="16.5" thickBot="1">
      <c r="A21" s="147"/>
      <c r="B21" s="150"/>
      <c r="C21" s="153"/>
      <c r="D21" s="28" t="s">
        <v>20</v>
      </c>
      <c r="E21" s="29"/>
      <c r="F21" s="74">
        <f>F17+F18+F19</f>
        <v>5513.6109999999999</v>
      </c>
      <c r="G21" s="75"/>
      <c r="H21" s="76">
        <f>H17+H18+H19</f>
        <v>909414.99833999993</v>
      </c>
    </row>
    <row r="22" spans="1:8" ht="16.5" customHeight="1">
      <c r="A22" s="140">
        <v>4</v>
      </c>
      <c r="B22" s="148" t="s">
        <v>23</v>
      </c>
      <c r="C22" s="151" t="s">
        <v>11</v>
      </c>
      <c r="D22" s="9" t="s">
        <v>12</v>
      </c>
      <c r="E22" s="10" t="s">
        <v>13</v>
      </c>
      <c r="F22" s="66">
        <v>10.55</v>
      </c>
      <c r="G22" s="66">
        <v>172429.39</v>
      </c>
      <c r="H22" s="13">
        <f>F22*G22</f>
        <v>1819130.0645000003</v>
      </c>
    </row>
    <row r="23" spans="1:8" ht="25.5">
      <c r="A23" s="141"/>
      <c r="B23" s="149"/>
      <c r="C23" s="152"/>
      <c r="D23" s="19" t="s">
        <v>16</v>
      </c>
      <c r="E23" s="20" t="s">
        <v>15</v>
      </c>
      <c r="F23" s="71">
        <v>3748.0940000000001</v>
      </c>
      <c r="G23" s="70">
        <v>164.94</v>
      </c>
      <c r="H23" s="18">
        <f>F23*G23</f>
        <v>618210.62436000002</v>
      </c>
    </row>
    <row r="24" spans="1:8" ht="25.5">
      <c r="A24" s="141"/>
      <c r="B24" s="149"/>
      <c r="C24" s="152"/>
      <c r="D24" s="19" t="s">
        <v>17</v>
      </c>
      <c r="E24" s="20" t="s">
        <v>15</v>
      </c>
      <c r="F24" s="71">
        <v>247.691</v>
      </c>
      <c r="G24" s="70">
        <v>164.94</v>
      </c>
      <c r="H24" s="18">
        <f>F24*G24</f>
        <v>40854.153539999999</v>
      </c>
    </row>
    <row r="25" spans="1:8">
      <c r="A25" s="141"/>
      <c r="B25" s="149"/>
      <c r="C25" s="152"/>
      <c r="D25" s="19" t="s">
        <v>18</v>
      </c>
      <c r="E25" s="20" t="s">
        <v>15</v>
      </c>
      <c r="F25" s="71">
        <v>581.45899999999995</v>
      </c>
      <c r="G25" s="70">
        <v>164.94</v>
      </c>
      <c r="H25" s="18">
        <f>F25*G25</f>
        <v>95905.84745999999</v>
      </c>
    </row>
    <row r="26" spans="1:8">
      <c r="A26" s="141"/>
      <c r="B26" s="149"/>
      <c r="C26" s="152"/>
      <c r="D26" s="22" t="s">
        <v>19</v>
      </c>
      <c r="E26" s="23"/>
      <c r="F26" s="72">
        <f>F22</f>
        <v>10.55</v>
      </c>
      <c r="G26" s="72"/>
      <c r="H26" s="73">
        <f>H22</f>
        <v>1819130.0645000003</v>
      </c>
    </row>
    <row r="27" spans="1:8" ht="16.5" thickBot="1">
      <c r="A27" s="147"/>
      <c r="B27" s="150"/>
      <c r="C27" s="153"/>
      <c r="D27" s="28" t="s">
        <v>20</v>
      </c>
      <c r="E27" s="29"/>
      <c r="F27" s="74">
        <f>F23+F24+F25</f>
        <v>4577.2439999999997</v>
      </c>
      <c r="G27" s="75"/>
      <c r="H27" s="76">
        <f>H23+H24+H25</f>
        <v>754970.62535999995</v>
      </c>
    </row>
    <row r="28" spans="1:8">
      <c r="A28" s="140">
        <v>5</v>
      </c>
      <c r="B28" s="148" t="s">
        <v>24</v>
      </c>
      <c r="C28" s="151" t="s">
        <v>11</v>
      </c>
      <c r="D28" s="9" t="s">
        <v>12</v>
      </c>
      <c r="E28" s="10" t="s">
        <v>13</v>
      </c>
      <c r="F28" s="66">
        <v>10.55</v>
      </c>
      <c r="G28" s="66">
        <v>172429.39</v>
      </c>
      <c r="H28" s="13">
        <f>F28*G28</f>
        <v>1819130.0645000003</v>
      </c>
    </row>
    <row r="29" spans="1:8" ht="25.5">
      <c r="A29" s="141"/>
      <c r="B29" s="149"/>
      <c r="C29" s="152"/>
      <c r="D29" s="19" t="s">
        <v>16</v>
      </c>
      <c r="E29" s="20" t="s">
        <v>15</v>
      </c>
      <c r="F29" s="71">
        <v>3130.7869999999998</v>
      </c>
      <c r="G29" s="70">
        <v>164.94</v>
      </c>
      <c r="H29" s="18">
        <f>F29*G29</f>
        <v>516392.00777999999</v>
      </c>
    </row>
    <row r="30" spans="1:8" ht="25.5">
      <c r="A30" s="141"/>
      <c r="B30" s="149"/>
      <c r="C30" s="152"/>
      <c r="D30" s="19" t="s">
        <v>17</v>
      </c>
      <c r="E30" s="20" t="s">
        <v>15</v>
      </c>
      <c r="F30" s="71">
        <v>269.14699999999999</v>
      </c>
      <c r="G30" s="70">
        <v>164.94</v>
      </c>
      <c r="H30" s="18">
        <f>F30*G30</f>
        <v>44393.106179999995</v>
      </c>
    </row>
    <row r="31" spans="1:8">
      <c r="A31" s="141"/>
      <c r="B31" s="149"/>
      <c r="C31" s="152"/>
      <c r="D31" s="19" t="s">
        <v>18</v>
      </c>
      <c r="E31" s="20" t="s">
        <v>15</v>
      </c>
      <c r="F31" s="71">
        <v>568.82500000000005</v>
      </c>
      <c r="G31" s="70">
        <v>164.94</v>
      </c>
      <c r="H31" s="18">
        <f>F31*G31</f>
        <v>93821.995500000005</v>
      </c>
    </row>
    <row r="32" spans="1:8">
      <c r="A32" s="141"/>
      <c r="B32" s="149"/>
      <c r="C32" s="152"/>
      <c r="D32" s="22" t="s">
        <v>19</v>
      </c>
      <c r="E32" s="23"/>
      <c r="F32" s="72">
        <f>F28</f>
        <v>10.55</v>
      </c>
      <c r="G32" s="72"/>
      <c r="H32" s="73">
        <f>H28</f>
        <v>1819130.0645000003</v>
      </c>
    </row>
    <row r="33" spans="1:8" ht="16.5" thickBot="1">
      <c r="A33" s="147"/>
      <c r="B33" s="150"/>
      <c r="C33" s="153"/>
      <c r="D33" s="28" t="s">
        <v>20</v>
      </c>
      <c r="E33" s="29"/>
      <c r="F33" s="74">
        <f>F29+F30+F31</f>
        <v>3968.759</v>
      </c>
      <c r="G33" s="75"/>
      <c r="H33" s="76">
        <f>H29+H30+H31</f>
        <v>654607.10945999995</v>
      </c>
    </row>
    <row r="34" spans="1:8">
      <c r="A34" s="140">
        <v>6</v>
      </c>
      <c r="B34" s="148" t="s">
        <v>25</v>
      </c>
      <c r="C34" s="151" t="s">
        <v>11</v>
      </c>
      <c r="D34" s="9" t="s">
        <v>12</v>
      </c>
      <c r="E34" s="10" t="s">
        <v>13</v>
      </c>
      <c r="F34" s="66">
        <v>10.55</v>
      </c>
      <c r="G34" s="66">
        <v>172429.39</v>
      </c>
      <c r="H34" s="13">
        <f>F34*G34</f>
        <v>1819130.0645000003</v>
      </c>
    </row>
    <row r="35" spans="1:8" ht="25.5">
      <c r="A35" s="141"/>
      <c r="B35" s="149"/>
      <c r="C35" s="152"/>
      <c r="D35" s="19" t="s">
        <v>16</v>
      </c>
      <c r="E35" s="20" t="s">
        <v>15</v>
      </c>
      <c r="F35" s="71">
        <v>3706.58</v>
      </c>
      <c r="G35" s="70">
        <v>164.94</v>
      </c>
      <c r="H35" s="18">
        <f>F35*G35</f>
        <v>611363.30519999994</v>
      </c>
    </row>
    <row r="36" spans="1:8" ht="25.5">
      <c r="A36" s="141"/>
      <c r="B36" s="149"/>
      <c r="C36" s="152"/>
      <c r="D36" s="19" t="s">
        <v>17</v>
      </c>
      <c r="E36" s="20" t="s">
        <v>15</v>
      </c>
      <c r="F36" s="71">
        <v>339.63099999999997</v>
      </c>
      <c r="G36" s="70">
        <v>164.94</v>
      </c>
      <c r="H36" s="18">
        <f>F36*G36</f>
        <v>56018.737139999997</v>
      </c>
    </row>
    <row r="37" spans="1:8">
      <c r="A37" s="141"/>
      <c r="B37" s="149"/>
      <c r="C37" s="152"/>
      <c r="D37" s="19" t="s">
        <v>18</v>
      </c>
      <c r="E37" s="20" t="s">
        <v>15</v>
      </c>
      <c r="F37" s="71">
        <v>774.30399999999997</v>
      </c>
      <c r="G37" s="70">
        <v>164.94</v>
      </c>
      <c r="H37" s="18">
        <f>F37*G37</f>
        <v>127713.70176</v>
      </c>
    </row>
    <row r="38" spans="1:8">
      <c r="A38" s="141"/>
      <c r="B38" s="149"/>
      <c r="C38" s="152"/>
      <c r="D38" s="22" t="s">
        <v>19</v>
      </c>
      <c r="E38" s="23"/>
      <c r="F38" s="72">
        <f>F34</f>
        <v>10.55</v>
      </c>
      <c r="G38" s="72"/>
      <c r="H38" s="73">
        <f>H34</f>
        <v>1819130.0645000003</v>
      </c>
    </row>
    <row r="39" spans="1:8" ht="16.5" thickBot="1">
      <c r="A39" s="147"/>
      <c r="B39" s="150"/>
      <c r="C39" s="153"/>
      <c r="D39" s="28" t="s">
        <v>20</v>
      </c>
      <c r="E39" s="29"/>
      <c r="F39" s="74">
        <f>F35+F36+F37</f>
        <v>4820.5149999999994</v>
      </c>
      <c r="G39" s="75"/>
      <c r="H39" s="76">
        <f>H35+H36+H37</f>
        <v>795095.74409999989</v>
      </c>
    </row>
    <row r="40" spans="1:8">
      <c r="A40" s="140">
        <v>7</v>
      </c>
      <c r="B40" s="148" t="s">
        <v>26</v>
      </c>
      <c r="C40" s="151" t="s">
        <v>11</v>
      </c>
      <c r="D40" s="9" t="s">
        <v>12</v>
      </c>
      <c r="E40" s="10" t="s">
        <v>13</v>
      </c>
      <c r="F40" s="66">
        <v>10.55</v>
      </c>
      <c r="G40" s="66">
        <v>172429.39</v>
      </c>
      <c r="H40" s="13">
        <f>F40*G40</f>
        <v>1819130.0645000003</v>
      </c>
    </row>
    <row r="41" spans="1:8" ht="25.5">
      <c r="A41" s="141"/>
      <c r="B41" s="149"/>
      <c r="C41" s="152"/>
      <c r="D41" s="19" t="s">
        <v>16</v>
      </c>
      <c r="E41" s="20" t="s">
        <v>15</v>
      </c>
      <c r="F41" s="71">
        <v>3369.4670000000001</v>
      </c>
      <c r="G41" s="70">
        <v>164.94</v>
      </c>
      <c r="H41" s="18">
        <f>F41*G41</f>
        <v>555759.88697999995</v>
      </c>
    </row>
    <row r="42" spans="1:8" ht="25.5">
      <c r="A42" s="141"/>
      <c r="B42" s="149"/>
      <c r="C42" s="152"/>
      <c r="D42" s="19" t="s">
        <v>17</v>
      </c>
      <c r="E42" s="20" t="s">
        <v>15</v>
      </c>
      <c r="F42" s="71">
        <v>331.70600000000002</v>
      </c>
      <c r="G42" s="70">
        <v>164.94</v>
      </c>
      <c r="H42" s="18">
        <f>F42*G42</f>
        <v>54711.587640000005</v>
      </c>
    </row>
    <row r="43" spans="1:8">
      <c r="A43" s="141"/>
      <c r="B43" s="149"/>
      <c r="C43" s="152"/>
      <c r="D43" s="19" t="s">
        <v>18</v>
      </c>
      <c r="E43" s="20" t="s">
        <v>15</v>
      </c>
      <c r="F43" s="71">
        <v>613.27099999999996</v>
      </c>
      <c r="G43" s="70">
        <v>164.94</v>
      </c>
      <c r="H43" s="18">
        <f>F43*G43</f>
        <v>101152.91873999999</v>
      </c>
    </row>
    <row r="44" spans="1:8">
      <c r="A44" s="141"/>
      <c r="B44" s="149"/>
      <c r="C44" s="152"/>
      <c r="D44" s="22" t="s">
        <v>19</v>
      </c>
      <c r="E44" s="23"/>
      <c r="F44" s="72">
        <f>F40</f>
        <v>10.55</v>
      </c>
      <c r="G44" s="72"/>
      <c r="H44" s="73">
        <f>H40</f>
        <v>1819130.0645000003</v>
      </c>
    </row>
    <row r="45" spans="1:8" ht="16.5" thickBot="1">
      <c r="A45" s="147"/>
      <c r="B45" s="150"/>
      <c r="C45" s="153"/>
      <c r="D45" s="28" t="s">
        <v>20</v>
      </c>
      <c r="E45" s="29"/>
      <c r="F45" s="74">
        <f>F41+F42+F43</f>
        <v>4314.4440000000004</v>
      </c>
      <c r="G45" s="75"/>
      <c r="H45" s="76">
        <f>H41+H42+H43</f>
        <v>711624.39335999999</v>
      </c>
    </row>
    <row r="46" spans="1:8">
      <c r="A46" s="140">
        <v>8</v>
      </c>
      <c r="B46" s="148" t="s">
        <v>27</v>
      </c>
      <c r="C46" s="151" t="s">
        <v>11</v>
      </c>
      <c r="D46" s="9" t="s">
        <v>12</v>
      </c>
      <c r="E46" s="10" t="s">
        <v>13</v>
      </c>
      <c r="F46" s="66">
        <v>10.55</v>
      </c>
      <c r="G46" s="66">
        <v>172429.39</v>
      </c>
      <c r="H46" s="13">
        <f>F46*G46</f>
        <v>1819130.0645000003</v>
      </c>
    </row>
    <row r="47" spans="1:8" ht="25.5">
      <c r="A47" s="141"/>
      <c r="B47" s="149"/>
      <c r="C47" s="152"/>
      <c r="D47" s="19" t="s">
        <v>16</v>
      </c>
      <c r="E47" s="20" t="s">
        <v>15</v>
      </c>
      <c r="F47" s="71">
        <v>3705.942</v>
      </c>
      <c r="G47" s="70">
        <v>164.94</v>
      </c>
      <c r="H47" s="18">
        <f>F47*G47</f>
        <v>611258.07348000002</v>
      </c>
    </row>
    <row r="48" spans="1:8" ht="25.5">
      <c r="A48" s="141"/>
      <c r="B48" s="149"/>
      <c r="C48" s="152"/>
      <c r="D48" s="19" t="s">
        <v>17</v>
      </c>
      <c r="E48" s="20" t="s">
        <v>15</v>
      </c>
      <c r="F48" s="71">
        <v>334.77800000000002</v>
      </c>
      <c r="G48" s="70">
        <v>164.94</v>
      </c>
      <c r="H48" s="18">
        <f>F48*G48</f>
        <v>55218.283320000002</v>
      </c>
    </row>
    <row r="49" spans="1:8">
      <c r="A49" s="141"/>
      <c r="B49" s="149"/>
      <c r="C49" s="152"/>
      <c r="D49" s="19" t="s">
        <v>18</v>
      </c>
      <c r="E49" s="20" t="s">
        <v>15</v>
      </c>
      <c r="F49" s="71">
        <v>711.57500000000005</v>
      </c>
      <c r="G49" s="70">
        <v>164.94</v>
      </c>
      <c r="H49" s="18">
        <f>F49*G49</f>
        <v>117367.1805</v>
      </c>
    </row>
    <row r="50" spans="1:8">
      <c r="A50" s="141"/>
      <c r="B50" s="149"/>
      <c r="C50" s="152"/>
      <c r="D50" s="22" t="s">
        <v>19</v>
      </c>
      <c r="E50" s="23"/>
      <c r="F50" s="72">
        <f>F46</f>
        <v>10.55</v>
      </c>
      <c r="G50" s="72"/>
      <c r="H50" s="73">
        <f>H46</f>
        <v>1819130.0645000003</v>
      </c>
    </row>
    <row r="51" spans="1:8" ht="16.5" thickBot="1">
      <c r="A51" s="147"/>
      <c r="B51" s="150"/>
      <c r="C51" s="153"/>
      <c r="D51" s="28" t="s">
        <v>20</v>
      </c>
      <c r="E51" s="29"/>
      <c r="F51" s="74">
        <f>F47+F48+F49</f>
        <v>4752.2950000000001</v>
      </c>
      <c r="G51" s="75"/>
      <c r="H51" s="76">
        <f>H47+H48+H49</f>
        <v>783843.53730000008</v>
      </c>
    </row>
    <row r="52" spans="1:8">
      <c r="A52" s="140">
        <v>9</v>
      </c>
      <c r="B52" s="148" t="s">
        <v>28</v>
      </c>
      <c r="C52" s="151" t="s">
        <v>11</v>
      </c>
      <c r="D52" s="9" t="s">
        <v>12</v>
      </c>
      <c r="E52" s="10" t="s">
        <v>13</v>
      </c>
      <c r="F52" s="66">
        <v>10.55</v>
      </c>
      <c r="G52" s="66">
        <v>172429.39</v>
      </c>
      <c r="H52" s="13">
        <f>F52*G52</f>
        <v>1819130.0645000003</v>
      </c>
    </row>
    <row r="53" spans="1:8" ht="25.5">
      <c r="A53" s="141"/>
      <c r="B53" s="149"/>
      <c r="C53" s="152"/>
      <c r="D53" s="19" t="s">
        <v>16</v>
      </c>
      <c r="E53" s="20" t="s">
        <v>15</v>
      </c>
      <c r="F53" s="71">
        <v>3021.85</v>
      </c>
      <c r="G53" s="70">
        <v>164.94</v>
      </c>
      <c r="H53" s="18">
        <f>F53*G53</f>
        <v>498423.93899999995</v>
      </c>
    </row>
    <row r="54" spans="1:8" ht="25.5">
      <c r="A54" s="141"/>
      <c r="B54" s="149"/>
      <c r="C54" s="152"/>
      <c r="D54" s="19" t="s">
        <v>17</v>
      </c>
      <c r="E54" s="20" t="s">
        <v>15</v>
      </c>
      <c r="F54" s="71">
        <v>285.77</v>
      </c>
      <c r="G54" s="70">
        <v>164.94</v>
      </c>
      <c r="H54" s="18">
        <f>F54*G54</f>
        <v>47134.903799999993</v>
      </c>
    </row>
    <row r="55" spans="1:8">
      <c r="A55" s="141"/>
      <c r="B55" s="149"/>
      <c r="C55" s="152"/>
      <c r="D55" s="19" t="s">
        <v>18</v>
      </c>
      <c r="E55" s="20" t="s">
        <v>15</v>
      </c>
      <c r="F55" s="71">
        <v>692.96699999999998</v>
      </c>
      <c r="G55" s="70">
        <v>164.94</v>
      </c>
      <c r="H55" s="18">
        <f>F55*G55</f>
        <v>114297.97697999999</v>
      </c>
    </row>
    <row r="56" spans="1:8">
      <c r="A56" s="141"/>
      <c r="B56" s="149"/>
      <c r="C56" s="152"/>
      <c r="D56" s="22" t="s">
        <v>19</v>
      </c>
      <c r="E56" s="23"/>
      <c r="F56" s="72">
        <f>F52</f>
        <v>10.55</v>
      </c>
      <c r="G56" s="72"/>
      <c r="H56" s="73">
        <f>H52</f>
        <v>1819130.0645000003</v>
      </c>
    </row>
    <row r="57" spans="1:8" ht="16.5" thickBot="1">
      <c r="A57" s="147"/>
      <c r="B57" s="150"/>
      <c r="C57" s="153"/>
      <c r="D57" s="28" t="s">
        <v>20</v>
      </c>
      <c r="E57" s="29"/>
      <c r="F57" s="74">
        <f>F53+F54+F55</f>
        <v>4000.587</v>
      </c>
      <c r="G57" s="75"/>
      <c r="H57" s="76">
        <f>H53+H54+H55</f>
        <v>659856.81978000002</v>
      </c>
    </row>
    <row r="58" spans="1:8">
      <c r="A58" s="140">
        <v>10</v>
      </c>
      <c r="B58" s="148" t="s">
        <v>29</v>
      </c>
      <c r="C58" s="151" t="s">
        <v>11</v>
      </c>
      <c r="D58" s="9" t="s">
        <v>12</v>
      </c>
      <c r="E58" s="10" t="s">
        <v>13</v>
      </c>
      <c r="F58" s="66">
        <v>10.55</v>
      </c>
      <c r="G58" s="66">
        <v>172429.39</v>
      </c>
      <c r="H58" s="13">
        <f>F58*G58</f>
        <v>1819130.0645000003</v>
      </c>
    </row>
    <row r="59" spans="1:8" ht="25.5">
      <c r="A59" s="141"/>
      <c r="B59" s="149"/>
      <c r="C59" s="152"/>
      <c r="D59" s="19" t="s">
        <v>16</v>
      </c>
      <c r="E59" s="20" t="s">
        <v>15</v>
      </c>
      <c r="F59" s="71">
        <v>2317.0819999999999</v>
      </c>
      <c r="G59" s="70">
        <v>164.94</v>
      </c>
      <c r="H59" s="18">
        <f>F59*G59</f>
        <v>382179.50507999997</v>
      </c>
    </row>
    <row r="60" spans="1:8" ht="25.5">
      <c r="A60" s="141"/>
      <c r="B60" s="149"/>
      <c r="C60" s="152"/>
      <c r="D60" s="19" t="s">
        <v>17</v>
      </c>
      <c r="E60" s="20" t="s">
        <v>15</v>
      </c>
      <c r="F60" s="71">
        <v>284.255</v>
      </c>
      <c r="G60" s="70">
        <v>164.94</v>
      </c>
      <c r="H60" s="18">
        <f>F60*G60</f>
        <v>46885.019699999997</v>
      </c>
    </row>
    <row r="61" spans="1:8">
      <c r="A61" s="141"/>
      <c r="B61" s="149"/>
      <c r="C61" s="152"/>
      <c r="D61" s="19" t="s">
        <v>18</v>
      </c>
      <c r="E61" s="20" t="s">
        <v>15</v>
      </c>
      <c r="F61" s="71">
        <v>582.33100000000002</v>
      </c>
      <c r="G61" s="70">
        <v>164.94</v>
      </c>
      <c r="H61" s="18">
        <f>F61*G61</f>
        <v>96049.675140000007</v>
      </c>
    </row>
    <row r="62" spans="1:8">
      <c r="A62" s="141"/>
      <c r="B62" s="149"/>
      <c r="C62" s="152"/>
      <c r="D62" s="22" t="s">
        <v>19</v>
      </c>
      <c r="E62" s="23"/>
      <c r="F62" s="72">
        <f>F58</f>
        <v>10.55</v>
      </c>
      <c r="G62" s="72"/>
      <c r="H62" s="73">
        <f>H58</f>
        <v>1819130.0645000003</v>
      </c>
    </row>
    <row r="63" spans="1:8" ht="16.5" thickBot="1">
      <c r="A63" s="147"/>
      <c r="B63" s="150"/>
      <c r="C63" s="153"/>
      <c r="D63" s="28" t="s">
        <v>20</v>
      </c>
      <c r="E63" s="29"/>
      <c r="F63" s="74">
        <f>F59+F60+F61</f>
        <v>3183.6680000000001</v>
      </c>
      <c r="G63" s="75"/>
      <c r="H63" s="76">
        <f>H59+H60+H61</f>
        <v>525114.19992000004</v>
      </c>
    </row>
    <row r="64" spans="1:8" ht="16.5" customHeight="1">
      <c r="A64" s="140">
        <v>11</v>
      </c>
      <c r="B64" s="148" t="s">
        <v>30</v>
      </c>
      <c r="C64" s="151" t="s">
        <v>11</v>
      </c>
      <c r="D64" s="9" t="s">
        <v>12</v>
      </c>
      <c r="E64" s="10" t="s">
        <v>13</v>
      </c>
      <c r="F64" s="66">
        <v>10.55</v>
      </c>
      <c r="G64" s="66">
        <v>172429.39</v>
      </c>
      <c r="H64" s="13">
        <f>F64*G64</f>
        <v>1819130.0645000003</v>
      </c>
    </row>
    <row r="65" spans="1:16" ht="25.5">
      <c r="A65" s="141"/>
      <c r="B65" s="149"/>
      <c r="C65" s="152"/>
      <c r="D65" s="19" t="s">
        <v>16</v>
      </c>
      <c r="E65" s="20" t="s">
        <v>15</v>
      </c>
      <c r="F65" s="71">
        <v>4352.9049999999997</v>
      </c>
      <c r="G65" s="70">
        <v>164.94</v>
      </c>
      <c r="H65" s="18">
        <f>F65*G65</f>
        <v>717968.1507</v>
      </c>
    </row>
    <row r="66" spans="1:16" ht="25.5">
      <c r="A66" s="141"/>
      <c r="B66" s="149"/>
      <c r="C66" s="152"/>
      <c r="D66" s="19" t="s">
        <v>17</v>
      </c>
      <c r="E66" s="20" t="s">
        <v>15</v>
      </c>
      <c r="F66" s="71">
        <v>254.44900000000001</v>
      </c>
      <c r="G66" s="70">
        <v>164.94</v>
      </c>
      <c r="H66" s="18">
        <f>F66*G66</f>
        <v>41968.818060000005</v>
      </c>
    </row>
    <row r="67" spans="1:16">
      <c r="A67" s="141"/>
      <c r="B67" s="149"/>
      <c r="C67" s="152"/>
      <c r="D67" s="19" t="s">
        <v>18</v>
      </c>
      <c r="E67" s="20" t="s">
        <v>15</v>
      </c>
      <c r="F67" s="71">
        <v>585.75800000000004</v>
      </c>
      <c r="G67" s="70">
        <v>164.94</v>
      </c>
      <c r="H67" s="18">
        <f>F67*G67</f>
        <v>96614.92452</v>
      </c>
    </row>
    <row r="68" spans="1:16">
      <c r="A68" s="141"/>
      <c r="B68" s="149"/>
      <c r="C68" s="152"/>
      <c r="D68" s="22" t="s">
        <v>19</v>
      </c>
      <c r="E68" s="23"/>
      <c r="F68" s="72">
        <f>F64</f>
        <v>10.55</v>
      </c>
      <c r="G68" s="72"/>
      <c r="H68" s="73">
        <f>H64</f>
        <v>1819130.0645000003</v>
      </c>
    </row>
    <row r="69" spans="1:16" ht="16.5" thickBot="1">
      <c r="A69" s="147"/>
      <c r="B69" s="150"/>
      <c r="C69" s="153"/>
      <c r="D69" s="28" t="s">
        <v>20</v>
      </c>
      <c r="E69" s="29"/>
      <c r="F69" s="74">
        <f>F65+F66+F67</f>
        <v>5193.1119999999992</v>
      </c>
      <c r="G69" s="75"/>
      <c r="H69" s="76">
        <f>H65+H66+H67</f>
        <v>856551.89327999996</v>
      </c>
    </row>
    <row r="70" spans="1:16" ht="16.5" customHeight="1">
      <c r="A70" s="140">
        <v>12</v>
      </c>
      <c r="B70" s="148" t="s">
        <v>31</v>
      </c>
      <c r="C70" s="151" t="s">
        <v>11</v>
      </c>
      <c r="D70" s="9" t="s">
        <v>12</v>
      </c>
      <c r="E70" s="10" t="s">
        <v>13</v>
      </c>
      <c r="F70" s="66">
        <v>10.55</v>
      </c>
      <c r="G70" s="66">
        <v>172429.39</v>
      </c>
      <c r="H70" s="13">
        <f>F70*G70</f>
        <v>1819130.0645000003</v>
      </c>
    </row>
    <row r="71" spans="1:16" ht="25.5">
      <c r="A71" s="141"/>
      <c r="B71" s="149"/>
      <c r="C71" s="152"/>
      <c r="D71" s="19" t="s">
        <v>16</v>
      </c>
      <c r="E71" s="20" t="s">
        <v>15</v>
      </c>
      <c r="F71" s="71">
        <v>4909.9979999999996</v>
      </c>
      <c r="G71" s="70">
        <v>164.94</v>
      </c>
      <c r="H71" s="18">
        <f>F71*G71</f>
        <v>809855.07011999993</v>
      </c>
    </row>
    <row r="72" spans="1:16" ht="25.5">
      <c r="A72" s="141"/>
      <c r="B72" s="149"/>
      <c r="C72" s="152"/>
      <c r="D72" s="19" t="s">
        <v>17</v>
      </c>
      <c r="E72" s="20" t="s">
        <v>15</v>
      </c>
      <c r="F72" s="71">
        <v>259.75200000000001</v>
      </c>
      <c r="G72" s="70">
        <v>164.94</v>
      </c>
      <c r="H72" s="18">
        <f>F72*G72</f>
        <v>42843.494879999998</v>
      </c>
    </row>
    <row r="73" spans="1:16">
      <c r="A73" s="141"/>
      <c r="B73" s="149"/>
      <c r="C73" s="152"/>
      <c r="D73" s="19" t="s">
        <v>18</v>
      </c>
      <c r="E73" s="20" t="s">
        <v>15</v>
      </c>
      <c r="F73" s="71">
        <v>587.40200000000004</v>
      </c>
      <c r="G73" s="70">
        <v>164.94</v>
      </c>
      <c r="H73" s="18">
        <f>F73*G73</f>
        <v>96886.085879999999</v>
      </c>
    </row>
    <row r="74" spans="1:16">
      <c r="A74" s="141"/>
      <c r="B74" s="149"/>
      <c r="C74" s="152"/>
      <c r="D74" s="22" t="s">
        <v>19</v>
      </c>
      <c r="E74" s="23"/>
      <c r="F74" s="72">
        <f>F70</f>
        <v>10.55</v>
      </c>
      <c r="G74" s="72"/>
      <c r="H74" s="73">
        <f>H70</f>
        <v>1819130.0645000003</v>
      </c>
    </row>
    <row r="75" spans="1:16" ht="16.5" thickBot="1">
      <c r="A75" s="147"/>
      <c r="B75" s="150"/>
      <c r="C75" s="153"/>
      <c r="D75" s="28" t="s">
        <v>20</v>
      </c>
      <c r="E75" s="29"/>
      <c r="F75" s="74">
        <f>F71+F72+F73</f>
        <v>5757.152</v>
      </c>
      <c r="G75" s="75"/>
      <c r="H75" s="76">
        <f>H71+H72+H73</f>
        <v>949584.65087999997</v>
      </c>
    </row>
    <row r="76" spans="1:16">
      <c r="A76" s="140">
        <v>13</v>
      </c>
      <c r="B76" s="148">
        <v>2019</v>
      </c>
      <c r="C76" s="151" t="s">
        <v>11</v>
      </c>
      <c r="D76" s="9" t="s">
        <v>12</v>
      </c>
      <c r="E76" s="10" t="s">
        <v>13</v>
      </c>
      <c r="F76" s="66">
        <v>10.55</v>
      </c>
      <c r="G76" s="66">
        <v>172429.39</v>
      </c>
      <c r="H76" s="13">
        <f>F76*G76*12</f>
        <v>21829560.774000004</v>
      </c>
      <c r="J76" s="46"/>
    </row>
    <row r="77" spans="1:16" ht="25.5">
      <c r="A77" s="141"/>
      <c r="B77" s="149"/>
      <c r="C77" s="152"/>
      <c r="D77" s="19" t="s">
        <v>16</v>
      </c>
      <c r="E77" s="20" t="s">
        <v>15</v>
      </c>
      <c r="F77" s="71">
        <f>F5+F11+F17+F23+F29+F35+F41+F47+F53+F59+F65+F71</f>
        <v>46639.431000000004</v>
      </c>
      <c r="G77" s="70">
        <v>164.94</v>
      </c>
      <c r="H77" s="18">
        <f>H5+H11+H17+H23+H29+H35+H41+H47+H53+H59+H65+H71</f>
        <v>7692707.74914</v>
      </c>
    </row>
    <row r="78" spans="1:16" ht="25.5">
      <c r="A78" s="141"/>
      <c r="B78" s="149"/>
      <c r="C78" s="152"/>
      <c r="D78" s="19" t="s">
        <v>17</v>
      </c>
      <c r="E78" s="20" t="s">
        <v>15</v>
      </c>
      <c r="F78" s="71">
        <f>F6+F12+F18+F24+F30+F36+F42+F48+F54+F60+F66+F72</f>
        <v>3398.1619999999998</v>
      </c>
      <c r="G78" s="70">
        <v>164.94</v>
      </c>
      <c r="H78" s="18">
        <f>H6+H12+H18+H24+H30+H36+H42+H48+H54+H60+H66+H72</f>
        <v>560492.84028</v>
      </c>
    </row>
    <row r="79" spans="1:16">
      <c r="A79" s="141"/>
      <c r="B79" s="149"/>
      <c r="C79" s="152"/>
      <c r="D79" s="19" t="s">
        <v>18</v>
      </c>
      <c r="E79" s="20" t="s">
        <v>15</v>
      </c>
      <c r="F79" s="71">
        <f>F7+F13+F19+F25+F31+F37+F43+F49+F55+F61+F67+F73</f>
        <v>7424.0579999999991</v>
      </c>
      <c r="G79" s="70">
        <v>164.94</v>
      </c>
      <c r="H79" s="18">
        <f>H7+H13+H19+H25+H31+H37+H43+H49+H55+H61+H67+H73</f>
        <v>1224524.1265200002</v>
      </c>
    </row>
    <row r="80" spans="1:16">
      <c r="A80" s="141"/>
      <c r="B80" s="149"/>
      <c r="C80" s="152"/>
      <c r="D80" s="22" t="s">
        <v>19</v>
      </c>
      <c r="E80" s="23"/>
      <c r="F80" s="72">
        <f>F76</f>
        <v>10.55</v>
      </c>
      <c r="G80" s="72"/>
      <c r="H80" s="73">
        <f>H76</f>
        <v>21829560.774000004</v>
      </c>
      <c r="J80" s="139"/>
      <c r="K80" s="139"/>
      <c r="L80" s="139"/>
      <c r="M80" s="27"/>
      <c r="N80" s="45"/>
      <c r="P80" s="27"/>
    </row>
    <row r="81" spans="1:16" ht="16.5" thickBot="1">
      <c r="A81" s="147"/>
      <c r="B81" s="150"/>
      <c r="C81" s="153"/>
      <c r="D81" s="28" t="s">
        <v>20</v>
      </c>
      <c r="E81" s="29"/>
      <c r="F81" s="77">
        <f>F77+F78+F79</f>
        <v>57461.650999999998</v>
      </c>
      <c r="G81" s="78"/>
      <c r="H81" s="79">
        <f>H77+H78+H79</f>
        <v>9477724.7159400005</v>
      </c>
      <c r="J81" s="27"/>
      <c r="L81" s="48"/>
      <c r="N81" s="45"/>
      <c r="P81" s="27"/>
    </row>
    <row r="82" spans="1:16">
      <c r="A82" s="50"/>
      <c r="B82" s="50"/>
      <c r="C82" s="51"/>
      <c r="D82" s="52"/>
      <c r="E82" s="53"/>
      <c r="F82" s="54"/>
      <c r="G82" s="55"/>
      <c r="H82" s="55"/>
    </row>
    <row r="83" spans="1:16" s="56" customFormat="1" ht="18.75">
      <c r="E83" s="57"/>
      <c r="H83" s="58"/>
      <c r="J83" s="59"/>
      <c r="L83" s="58"/>
      <c r="M83" s="58"/>
    </row>
    <row r="84" spans="1:16" s="56" customFormat="1" ht="18.75">
      <c r="B84" s="56" t="s">
        <v>32</v>
      </c>
      <c r="E84" s="57"/>
      <c r="F84" s="56" t="s">
        <v>33</v>
      </c>
      <c r="L84" s="59"/>
    </row>
    <row r="85" spans="1:16" s="56" customFormat="1" ht="18.75">
      <c r="E85" s="57"/>
    </row>
    <row r="86" spans="1:16" s="56" customFormat="1" ht="18.75">
      <c r="B86" s="56" t="s">
        <v>34</v>
      </c>
      <c r="E86" s="57"/>
      <c r="F86" s="56" t="s">
        <v>35</v>
      </c>
    </row>
    <row r="90" spans="1:16">
      <c r="H90" s="27"/>
    </row>
  </sheetData>
  <mergeCells count="42">
    <mergeCell ref="A10:A15"/>
    <mergeCell ref="B10:B15"/>
    <mergeCell ref="C10:C15"/>
    <mergeCell ref="A1:H1"/>
    <mergeCell ref="J3:L3"/>
    <mergeCell ref="A4:A9"/>
    <mergeCell ref="B4:B9"/>
    <mergeCell ref="C4:C9"/>
    <mergeCell ref="A16:A21"/>
    <mergeCell ref="B16:B21"/>
    <mergeCell ref="C16:C21"/>
    <mergeCell ref="A22:A27"/>
    <mergeCell ref="B22:B27"/>
    <mergeCell ref="C22:C27"/>
    <mergeCell ref="A28:A33"/>
    <mergeCell ref="B28:B33"/>
    <mergeCell ref="C28:C33"/>
    <mergeCell ref="A34:A39"/>
    <mergeCell ref="B34:B39"/>
    <mergeCell ref="C34:C39"/>
    <mergeCell ref="A40:A45"/>
    <mergeCell ref="B40:B45"/>
    <mergeCell ref="C40:C45"/>
    <mergeCell ref="A46:A51"/>
    <mergeCell ref="B46:B51"/>
    <mergeCell ref="C46:C51"/>
    <mergeCell ref="A52:A57"/>
    <mergeCell ref="B52:B57"/>
    <mergeCell ref="C52:C57"/>
    <mergeCell ref="A58:A63"/>
    <mergeCell ref="B58:B63"/>
    <mergeCell ref="C58:C63"/>
    <mergeCell ref="A76:A81"/>
    <mergeCell ref="B76:B81"/>
    <mergeCell ref="C76:C81"/>
    <mergeCell ref="J80:L80"/>
    <mergeCell ref="A64:A69"/>
    <mergeCell ref="B64:B69"/>
    <mergeCell ref="C64:C69"/>
    <mergeCell ref="A70:A75"/>
    <mergeCell ref="B70:B75"/>
    <mergeCell ref="C70:C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L90"/>
  <sheetViews>
    <sheetView workbookViewId="0">
      <selection activeCell="F94" sqref="F94"/>
    </sheetView>
  </sheetViews>
  <sheetFormatPr defaultRowHeight="15.75"/>
  <cols>
    <col min="1" max="1" width="5.5703125" style="2" customWidth="1"/>
    <col min="2" max="2" width="10.28515625" style="2" customWidth="1"/>
    <col min="3" max="3" width="17.140625" style="2" customWidth="1"/>
    <col min="4" max="4" width="43.28515625" style="2" customWidth="1"/>
    <col min="5" max="5" width="15" style="3" customWidth="1"/>
    <col min="6" max="6" width="18.28515625" style="2" customWidth="1"/>
    <col min="7" max="7" width="15.28515625" style="2" customWidth="1"/>
    <col min="8" max="8" width="19.85546875" style="2" customWidth="1"/>
    <col min="9" max="9" width="9.140625" style="2"/>
    <col min="10" max="10" width="17.5703125" style="2" customWidth="1"/>
    <col min="11" max="256" width="9.140625" style="2"/>
    <col min="257" max="257" width="5.5703125" style="2" customWidth="1"/>
    <col min="258" max="258" width="10.28515625" style="2" customWidth="1"/>
    <col min="259" max="259" width="17.140625" style="2" customWidth="1"/>
    <col min="260" max="260" width="43.28515625" style="2" customWidth="1"/>
    <col min="261" max="261" width="15" style="2" customWidth="1"/>
    <col min="262" max="262" width="18.28515625" style="2" customWidth="1"/>
    <col min="263" max="263" width="15.28515625" style="2" customWidth="1"/>
    <col min="264" max="264" width="19.85546875" style="2" customWidth="1"/>
    <col min="265" max="265" width="9.140625" style="2"/>
    <col min="266" max="266" width="17.5703125" style="2" customWidth="1"/>
    <col min="267" max="512" width="9.140625" style="2"/>
    <col min="513" max="513" width="5.5703125" style="2" customWidth="1"/>
    <col min="514" max="514" width="10.28515625" style="2" customWidth="1"/>
    <col min="515" max="515" width="17.140625" style="2" customWidth="1"/>
    <col min="516" max="516" width="43.28515625" style="2" customWidth="1"/>
    <col min="517" max="517" width="15" style="2" customWidth="1"/>
    <col min="518" max="518" width="18.28515625" style="2" customWidth="1"/>
    <col min="519" max="519" width="15.28515625" style="2" customWidth="1"/>
    <col min="520" max="520" width="19.85546875" style="2" customWidth="1"/>
    <col min="521" max="521" width="9.140625" style="2"/>
    <col min="522" max="522" width="17.5703125" style="2" customWidth="1"/>
    <col min="523" max="768" width="9.140625" style="2"/>
    <col min="769" max="769" width="5.5703125" style="2" customWidth="1"/>
    <col min="770" max="770" width="10.28515625" style="2" customWidth="1"/>
    <col min="771" max="771" width="17.140625" style="2" customWidth="1"/>
    <col min="772" max="772" width="43.28515625" style="2" customWidth="1"/>
    <col min="773" max="773" width="15" style="2" customWidth="1"/>
    <col min="774" max="774" width="18.28515625" style="2" customWidth="1"/>
    <col min="775" max="775" width="15.28515625" style="2" customWidth="1"/>
    <col min="776" max="776" width="19.85546875" style="2" customWidth="1"/>
    <col min="777" max="777" width="9.140625" style="2"/>
    <col min="778" max="778" width="17.5703125" style="2" customWidth="1"/>
    <col min="779" max="1024" width="9.140625" style="2"/>
    <col min="1025" max="1025" width="5.5703125" style="2" customWidth="1"/>
    <col min="1026" max="1026" width="10.28515625" style="2" customWidth="1"/>
    <col min="1027" max="1027" width="17.140625" style="2" customWidth="1"/>
    <col min="1028" max="1028" width="43.28515625" style="2" customWidth="1"/>
    <col min="1029" max="1029" width="15" style="2" customWidth="1"/>
    <col min="1030" max="1030" width="18.28515625" style="2" customWidth="1"/>
    <col min="1031" max="1031" width="15.28515625" style="2" customWidth="1"/>
    <col min="1032" max="1032" width="19.85546875" style="2" customWidth="1"/>
    <col min="1033" max="1033" width="9.140625" style="2"/>
    <col min="1034" max="1034" width="17.5703125" style="2" customWidth="1"/>
    <col min="1035" max="1280" width="9.140625" style="2"/>
    <col min="1281" max="1281" width="5.5703125" style="2" customWidth="1"/>
    <col min="1282" max="1282" width="10.28515625" style="2" customWidth="1"/>
    <col min="1283" max="1283" width="17.140625" style="2" customWidth="1"/>
    <col min="1284" max="1284" width="43.28515625" style="2" customWidth="1"/>
    <col min="1285" max="1285" width="15" style="2" customWidth="1"/>
    <col min="1286" max="1286" width="18.28515625" style="2" customWidth="1"/>
    <col min="1287" max="1287" width="15.28515625" style="2" customWidth="1"/>
    <col min="1288" max="1288" width="19.85546875" style="2" customWidth="1"/>
    <col min="1289" max="1289" width="9.140625" style="2"/>
    <col min="1290" max="1290" width="17.5703125" style="2" customWidth="1"/>
    <col min="1291" max="1536" width="9.140625" style="2"/>
    <col min="1537" max="1537" width="5.5703125" style="2" customWidth="1"/>
    <col min="1538" max="1538" width="10.28515625" style="2" customWidth="1"/>
    <col min="1539" max="1539" width="17.140625" style="2" customWidth="1"/>
    <col min="1540" max="1540" width="43.28515625" style="2" customWidth="1"/>
    <col min="1541" max="1541" width="15" style="2" customWidth="1"/>
    <col min="1542" max="1542" width="18.28515625" style="2" customWidth="1"/>
    <col min="1543" max="1543" width="15.28515625" style="2" customWidth="1"/>
    <col min="1544" max="1544" width="19.85546875" style="2" customWidth="1"/>
    <col min="1545" max="1545" width="9.140625" style="2"/>
    <col min="1546" max="1546" width="17.5703125" style="2" customWidth="1"/>
    <col min="1547" max="1792" width="9.140625" style="2"/>
    <col min="1793" max="1793" width="5.5703125" style="2" customWidth="1"/>
    <col min="1794" max="1794" width="10.28515625" style="2" customWidth="1"/>
    <col min="1795" max="1795" width="17.140625" style="2" customWidth="1"/>
    <col min="1796" max="1796" width="43.28515625" style="2" customWidth="1"/>
    <col min="1797" max="1797" width="15" style="2" customWidth="1"/>
    <col min="1798" max="1798" width="18.28515625" style="2" customWidth="1"/>
    <col min="1799" max="1799" width="15.28515625" style="2" customWidth="1"/>
    <col min="1800" max="1800" width="19.85546875" style="2" customWidth="1"/>
    <col min="1801" max="1801" width="9.140625" style="2"/>
    <col min="1802" max="1802" width="17.5703125" style="2" customWidth="1"/>
    <col min="1803" max="2048" width="9.140625" style="2"/>
    <col min="2049" max="2049" width="5.5703125" style="2" customWidth="1"/>
    <col min="2050" max="2050" width="10.28515625" style="2" customWidth="1"/>
    <col min="2051" max="2051" width="17.140625" style="2" customWidth="1"/>
    <col min="2052" max="2052" width="43.28515625" style="2" customWidth="1"/>
    <col min="2053" max="2053" width="15" style="2" customWidth="1"/>
    <col min="2054" max="2054" width="18.28515625" style="2" customWidth="1"/>
    <col min="2055" max="2055" width="15.28515625" style="2" customWidth="1"/>
    <col min="2056" max="2056" width="19.85546875" style="2" customWidth="1"/>
    <col min="2057" max="2057" width="9.140625" style="2"/>
    <col min="2058" max="2058" width="17.5703125" style="2" customWidth="1"/>
    <col min="2059" max="2304" width="9.140625" style="2"/>
    <col min="2305" max="2305" width="5.5703125" style="2" customWidth="1"/>
    <col min="2306" max="2306" width="10.28515625" style="2" customWidth="1"/>
    <col min="2307" max="2307" width="17.140625" style="2" customWidth="1"/>
    <col min="2308" max="2308" width="43.28515625" style="2" customWidth="1"/>
    <col min="2309" max="2309" width="15" style="2" customWidth="1"/>
    <col min="2310" max="2310" width="18.28515625" style="2" customWidth="1"/>
    <col min="2311" max="2311" width="15.28515625" style="2" customWidth="1"/>
    <col min="2312" max="2312" width="19.85546875" style="2" customWidth="1"/>
    <col min="2313" max="2313" width="9.140625" style="2"/>
    <col min="2314" max="2314" width="17.5703125" style="2" customWidth="1"/>
    <col min="2315" max="2560" width="9.140625" style="2"/>
    <col min="2561" max="2561" width="5.5703125" style="2" customWidth="1"/>
    <col min="2562" max="2562" width="10.28515625" style="2" customWidth="1"/>
    <col min="2563" max="2563" width="17.140625" style="2" customWidth="1"/>
    <col min="2564" max="2564" width="43.28515625" style="2" customWidth="1"/>
    <col min="2565" max="2565" width="15" style="2" customWidth="1"/>
    <col min="2566" max="2566" width="18.28515625" style="2" customWidth="1"/>
    <col min="2567" max="2567" width="15.28515625" style="2" customWidth="1"/>
    <col min="2568" max="2568" width="19.85546875" style="2" customWidth="1"/>
    <col min="2569" max="2569" width="9.140625" style="2"/>
    <col min="2570" max="2570" width="17.5703125" style="2" customWidth="1"/>
    <col min="2571" max="2816" width="9.140625" style="2"/>
    <col min="2817" max="2817" width="5.5703125" style="2" customWidth="1"/>
    <col min="2818" max="2818" width="10.28515625" style="2" customWidth="1"/>
    <col min="2819" max="2819" width="17.140625" style="2" customWidth="1"/>
    <col min="2820" max="2820" width="43.28515625" style="2" customWidth="1"/>
    <col min="2821" max="2821" width="15" style="2" customWidth="1"/>
    <col min="2822" max="2822" width="18.28515625" style="2" customWidth="1"/>
    <col min="2823" max="2823" width="15.28515625" style="2" customWidth="1"/>
    <col min="2824" max="2824" width="19.85546875" style="2" customWidth="1"/>
    <col min="2825" max="2825" width="9.140625" style="2"/>
    <col min="2826" max="2826" width="17.5703125" style="2" customWidth="1"/>
    <col min="2827" max="3072" width="9.140625" style="2"/>
    <col min="3073" max="3073" width="5.5703125" style="2" customWidth="1"/>
    <col min="3074" max="3074" width="10.28515625" style="2" customWidth="1"/>
    <col min="3075" max="3075" width="17.140625" style="2" customWidth="1"/>
    <col min="3076" max="3076" width="43.28515625" style="2" customWidth="1"/>
    <col min="3077" max="3077" width="15" style="2" customWidth="1"/>
    <col min="3078" max="3078" width="18.28515625" style="2" customWidth="1"/>
    <col min="3079" max="3079" width="15.28515625" style="2" customWidth="1"/>
    <col min="3080" max="3080" width="19.85546875" style="2" customWidth="1"/>
    <col min="3081" max="3081" width="9.140625" style="2"/>
    <col min="3082" max="3082" width="17.5703125" style="2" customWidth="1"/>
    <col min="3083" max="3328" width="9.140625" style="2"/>
    <col min="3329" max="3329" width="5.5703125" style="2" customWidth="1"/>
    <col min="3330" max="3330" width="10.28515625" style="2" customWidth="1"/>
    <col min="3331" max="3331" width="17.140625" style="2" customWidth="1"/>
    <col min="3332" max="3332" width="43.28515625" style="2" customWidth="1"/>
    <col min="3333" max="3333" width="15" style="2" customWidth="1"/>
    <col min="3334" max="3334" width="18.28515625" style="2" customWidth="1"/>
    <col min="3335" max="3335" width="15.28515625" style="2" customWidth="1"/>
    <col min="3336" max="3336" width="19.85546875" style="2" customWidth="1"/>
    <col min="3337" max="3337" width="9.140625" style="2"/>
    <col min="3338" max="3338" width="17.5703125" style="2" customWidth="1"/>
    <col min="3339" max="3584" width="9.140625" style="2"/>
    <col min="3585" max="3585" width="5.5703125" style="2" customWidth="1"/>
    <col min="3586" max="3586" width="10.28515625" style="2" customWidth="1"/>
    <col min="3587" max="3587" width="17.140625" style="2" customWidth="1"/>
    <col min="3588" max="3588" width="43.28515625" style="2" customWidth="1"/>
    <col min="3589" max="3589" width="15" style="2" customWidth="1"/>
    <col min="3590" max="3590" width="18.28515625" style="2" customWidth="1"/>
    <col min="3591" max="3591" width="15.28515625" style="2" customWidth="1"/>
    <col min="3592" max="3592" width="19.85546875" style="2" customWidth="1"/>
    <col min="3593" max="3593" width="9.140625" style="2"/>
    <col min="3594" max="3594" width="17.5703125" style="2" customWidth="1"/>
    <col min="3595" max="3840" width="9.140625" style="2"/>
    <col min="3841" max="3841" width="5.5703125" style="2" customWidth="1"/>
    <col min="3842" max="3842" width="10.28515625" style="2" customWidth="1"/>
    <col min="3843" max="3843" width="17.140625" style="2" customWidth="1"/>
    <col min="3844" max="3844" width="43.28515625" style="2" customWidth="1"/>
    <col min="3845" max="3845" width="15" style="2" customWidth="1"/>
    <col min="3846" max="3846" width="18.28515625" style="2" customWidth="1"/>
    <col min="3847" max="3847" width="15.28515625" style="2" customWidth="1"/>
    <col min="3848" max="3848" width="19.85546875" style="2" customWidth="1"/>
    <col min="3849" max="3849" width="9.140625" style="2"/>
    <col min="3850" max="3850" width="17.5703125" style="2" customWidth="1"/>
    <col min="3851" max="4096" width="9.140625" style="2"/>
    <col min="4097" max="4097" width="5.5703125" style="2" customWidth="1"/>
    <col min="4098" max="4098" width="10.28515625" style="2" customWidth="1"/>
    <col min="4099" max="4099" width="17.140625" style="2" customWidth="1"/>
    <col min="4100" max="4100" width="43.28515625" style="2" customWidth="1"/>
    <col min="4101" max="4101" width="15" style="2" customWidth="1"/>
    <col min="4102" max="4102" width="18.28515625" style="2" customWidth="1"/>
    <col min="4103" max="4103" width="15.28515625" style="2" customWidth="1"/>
    <col min="4104" max="4104" width="19.85546875" style="2" customWidth="1"/>
    <col min="4105" max="4105" width="9.140625" style="2"/>
    <col min="4106" max="4106" width="17.5703125" style="2" customWidth="1"/>
    <col min="4107" max="4352" width="9.140625" style="2"/>
    <col min="4353" max="4353" width="5.5703125" style="2" customWidth="1"/>
    <col min="4354" max="4354" width="10.28515625" style="2" customWidth="1"/>
    <col min="4355" max="4355" width="17.140625" style="2" customWidth="1"/>
    <col min="4356" max="4356" width="43.28515625" style="2" customWidth="1"/>
    <col min="4357" max="4357" width="15" style="2" customWidth="1"/>
    <col min="4358" max="4358" width="18.28515625" style="2" customWidth="1"/>
    <col min="4359" max="4359" width="15.28515625" style="2" customWidth="1"/>
    <col min="4360" max="4360" width="19.85546875" style="2" customWidth="1"/>
    <col min="4361" max="4361" width="9.140625" style="2"/>
    <col min="4362" max="4362" width="17.5703125" style="2" customWidth="1"/>
    <col min="4363" max="4608" width="9.140625" style="2"/>
    <col min="4609" max="4609" width="5.5703125" style="2" customWidth="1"/>
    <col min="4610" max="4610" width="10.28515625" style="2" customWidth="1"/>
    <col min="4611" max="4611" width="17.140625" style="2" customWidth="1"/>
    <col min="4612" max="4612" width="43.28515625" style="2" customWidth="1"/>
    <col min="4613" max="4613" width="15" style="2" customWidth="1"/>
    <col min="4614" max="4614" width="18.28515625" style="2" customWidth="1"/>
    <col min="4615" max="4615" width="15.28515625" style="2" customWidth="1"/>
    <col min="4616" max="4616" width="19.85546875" style="2" customWidth="1"/>
    <col min="4617" max="4617" width="9.140625" style="2"/>
    <col min="4618" max="4618" width="17.5703125" style="2" customWidth="1"/>
    <col min="4619" max="4864" width="9.140625" style="2"/>
    <col min="4865" max="4865" width="5.5703125" style="2" customWidth="1"/>
    <col min="4866" max="4866" width="10.28515625" style="2" customWidth="1"/>
    <col min="4867" max="4867" width="17.140625" style="2" customWidth="1"/>
    <col min="4868" max="4868" width="43.28515625" style="2" customWidth="1"/>
    <col min="4869" max="4869" width="15" style="2" customWidth="1"/>
    <col min="4870" max="4870" width="18.28515625" style="2" customWidth="1"/>
    <col min="4871" max="4871" width="15.28515625" style="2" customWidth="1"/>
    <col min="4872" max="4872" width="19.85546875" style="2" customWidth="1"/>
    <col min="4873" max="4873" width="9.140625" style="2"/>
    <col min="4874" max="4874" width="17.5703125" style="2" customWidth="1"/>
    <col min="4875" max="5120" width="9.140625" style="2"/>
    <col min="5121" max="5121" width="5.5703125" style="2" customWidth="1"/>
    <col min="5122" max="5122" width="10.28515625" style="2" customWidth="1"/>
    <col min="5123" max="5123" width="17.140625" style="2" customWidth="1"/>
    <col min="5124" max="5124" width="43.28515625" style="2" customWidth="1"/>
    <col min="5125" max="5125" width="15" style="2" customWidth="1"/>
    <col min="5126" max="5126" width="18.28515625" style="2" customWidth="1"/>
    <col min="5127" max="5127" width="15.28515625" style="2" customWidth="1"/>
    <col min="5128" max="5128" width="19.85546875" style="2" customWidth="1"/>
    <col min="5129" max="5129" width="9.140625" style="2"/>
    <col min="5130" max="5130" width="17.5703125" style="2" customWidth="1"/>
    <col min="5131" max="5376" width="9.140625" style="2"/>
    <col min="5377" max="5377" width="5.5703125" style="2" customWidth="1"/>
    <col min="5378" max="5378" width="10.28515625" style="2" customWidth="1"/>
    <col min="5379" max="5379" width="17.140625" style="2" customWidth="1"/>
    <col min="5380" max="5380" width="43.28515625" style="2" customWidth="1"/>
    <col min="5381" max="5381" width="15" style="2" customWidth="1"/>
    <col min="5382" max="5382" width="18.28515625" style="2" customWidth="1"/>
    <col min="5383" max="5383" width="15.28515625" style="2" customWidth="1"/>
    <col min="5384" max="5384" width="19.85546875" style="2" customWidth="1"/>
    <col min="5385" max="5385" width="9.140625" style="2"/>
    <col min="5386" max="5386" width="17.5703125" style="2" customWidth="1"/>
    <col min="5387" max="5632" width="9.140625" style="2"/>
    <col min="5633" max="5633" width="5.5703125" style="2" customWidth="1"/>
    <col min="5634" max="5634" width="10.28515625" style="2" customWidth="1"/>
    <col min="5635" max="5635" width="17.140625" style="2" customWidth="1"/>
    <col min="5636" max="5636" width="43.28515625" style="2" customWidth="1"/>
    <col min="5637" max="5637" width="15" style="2" customWidth="1"/>
    <col min="5638" max="5638" width="18.28515625" style="2" customWidth="1"/>
    <col min="5639" max="5639" width="15.28515625" style="2" customWidth="1"/>
    <col min="5640" max="5640" width="19.85546875" style="2" customWidth="1"/>
    <col min="5641" max="5641" width="9.140625" style="2"/>
    <col min="5642" max="5642" width="17.5703125" style="2" customWidth="1"/>
    <col min="5643" max="5888" width="9.140625" style="2"/>
    <col min="5889" max="5889" width="5.5703125" style="2" customWidth="1"/>
    <col min="5890" max="5890" width="10.28515625" style="2" customWidth="1"/>
    <col min="5891" max="5891" width="17.140625" style="2" customWidth="1"/>
    <col min="5892" max="5892" width="43.28515625" style="2" customWidth="1"/>
    <col min="5893" max="5893" width="15" style="2" customWidth="1"/>
    <col min="5894" max="5894" width="18.28515625" style="2" customWidth="1"/>
    <col min="5895" max="5895" width="15.28515625" style="2" customWidth="1"/>
    <col min="5896" max="5896" width="19.85546875" style="2" customWidth="1"/>
    <col min="5897" max="5897" width="9.140625" style="2"/>
    <col min="5898" max="5898" width="17.5703125" style="2" customWidth="1"/>
    <col min="5899" max="6144" width="9.140625" style="2"/>
    <col min="6145" max="6145" width="5.5703125" style="2" customWidth="1"/>
    <col min="6146" max="6146" width="10.28515625" style="2" customWidth="1"/>
    <col min="6147" max="6147" width="17.140625" style="2" customWidth="1"/>
    <col min="6148" max="6148" width="43.28515625" style="2" customWidth="1"/>
    <col min="6149" max="6149" width="15" style="2" customWidth="1"/>
    <col min="6150" max="6150" width="18.28515625" style="2" customWidth="1"/>
    <col min="6151" max="6151" width="15.28515625" style="2" customWidth="1"/>
    <col min="6152" max="6152" width="19.85546875" style="2" customWidth="1"/>
    <col min="6153" max="6153" width="9.140625" style="2"/>
    <col min="6154" max="6154" width="17.5703125" style="2" customWidth="1"/>
    <col min="6155" max="6400" width="9.140625" style="2"/>
    <col min="6401" max="6401" width="5.5703125" style="2" customWidth="1"/>
    <col min="6402" max="6402" width="10.28515625" style="2" customWidth="1"/>
    <col min="6403" max="6403" width="17.140625" style="2" customWidth="1"/>
    <col min="6404" max="6404" width="43.28515625" style="2" customWidth="1"/>
    <col min="6405" max="6405" width="15" style="2" customWidth="1"/>
    <col min="6406" max="6406" width="18.28515625" style="2" customWidth="1"/>
    <col min="6407" max="6407" width="15.28515625" style="2" customWidth="1"/>
    <col min="6408" max="6408" width="19.85546875" style="2" customWidth="1"/>
    <col min="6409" max="6409" width="9.140625" style="2"/>
    <col min="6410" max="6410" width="17.5703125" style="2" customWidth="1"/>
    <col min="6411" max="6656" width="9.140625" style="2"/>
    <col min="6657" max="6657" width="5.5703125" style="2" customWidth="1"/>
    <col min="6658" max="6658" width="10.28515625" style="2" customWidth="1"/>
    <col min="6659" max="6659" width="17.140625" style="2" customWidth="1"/>
    <col min="6660" max="6660" width="43.28515625" style="2" customWidth="1"/>
    <col min="6661" max="6661" width="15" style="2" customWidth="1"/>
    <col min="6662" max="6662" width="18.28515625" style="2" customWidth="1"/>
    <col min="6663" max="6663" width="15.28515625" style="2" customWidth="1"/>
    <col min="6664" max="6664" width="19.85546875" style="2" customWidth="1"/>
    <col min="6665" max="6665" width="9.140625" style="2"/>
    <col min="6666" max="6666" width="17.5703125" style="2" customWidth="1"/>
    <col min="6667" max="6912" width="9.140625" style="2"/>
    <col min="6913" max="6913" width="5.5703125" style="2" customWidth="1"/>
    <col min="6914" max="6914" width="10.28515625" style="2" customWidth="1"/>
    <col min="6915" max="6915" width="17.140625" style="2" customWidth="1"/>
    <col min="6916" max="6916" width="43.28515625" style="2" customWidth="1"/>
    <col min="6917" max="6917" width="15" style="2" customWidth="1"/>
    <col min="6918" max="6918" width="18.28515625" style="2" customWidth="1"/>
    <col min="6919" max="6919" width="15.28515625" style="2" customWidth="1"/>
    <col min="6920" max="6920" width="19.85546875" style="2" customWidth="1"/>
    <col min="6921" max="6921" width="9.140625" style="2"/>
    <col min="6922" max="6922" width="17.5703125" style="2" customWidth="1"/>
    <col min="6923" max="7168" width="9.140625" style="2"/>
    <col min="7169" max="7169" width="5.5703125" style="2" customWidth="1"/>
    <col min="7170" max="7170" width="10.28515625" style="2" customWidth="1"/>
    <col min="7171" max="7171" width="17.140625" style="2" customWidth="1"/>
    <col min="7172" max="7172" width="43.28515625" style="2" customWidth="1"/>
    <col min="7173" max="7173" width="15" style="2" customWidth="1"/>
    <col min="7174" max="7174" width="18.28515625" style="2" customWidth="1"/>
    <col min="7175" max="7175" width="15.28515625" style="2" customWidth="1"/>
    <col min="7176" max="7176" width="19.85546875" style="2" customWidth="1"/>
    <col min="7177" max="7177" width="9.140625" style="2"/>
    <col min="7178" max="7178" width="17.5703125" style="2" customWidth="1"/>
    <col min="7179" max="7424" width="9.140625" style="2"/>
    <col min="7425" max="7425" width="5.5703125" style="2" customWidth="1"/>
    <col min="7426" max="7426" width="10.28515625" style="2" customWidth="1"/>
    <col min="7427" max="7427" width="17.140625" style="2" customWidth="1"/>
    <col min="7428" max="7428" width="43.28515625" style="2" customWidth="1"/>
    <col min="7429" max="7429" width="15" style="2" customWidth="1"/>
    <col min="7430" max="7430" width="18.28515625" style="2" customWidth="1"/>
    <col min="7431" max="7431" width="15.28515625" style="2" customWidth="1"/>
    <col min="7432" max="7432" width="19.85546875" style="2" customWidth="1"/>
    <col min="7433" max="7433" width="9.140625" style="2"/>
    <col min="7434" max="7434" width="17.5703125" style="2" customWidth="1"/>
    <col min="7435" max="7680" width="9.140625" style="2"/>
    <col min="7681" max="7681" width="5.5703125" style="2" customWidth="1"/>
    <col min="7682" max="7682" width="10.28515625" style="2" customWidth="1"/>
    <col min="7683" max="7683" width="17.140625" style="2" customWidth="1"/>
    <col min="7684" max="7684" width="43.28515625" style="2" customWidth="1"/>
    <col min="7685" max="7685" width="15" style="2" customWidth="1"/>
    <col min="7686" max="7686" width="18.28515625" style="2" customWidth="1"/>
    <col min="7687" max="7687" width="15.28515625" style="2" customWidth="1"/>
    <col min="7688" max="7688" width="19.85546875" style="2" customWidth="1"/>
    <col min="7689" max="7689" width="9.140625" style="2"/>
    <col min="7690" max="7690" width="17.5703125" style="2" customWidth="1"/>
    <col min="7691" max="7936" width="9.140625" style="2"/>
    <col min="7937" max="7937" width="5.5703125" style="2" customWidth="1"/>
    <col min="7938" max="7938" width="10.28515625" style="2" customWidth="1"/>
    <col min="7939" max="7939" width="17.140625" style="2" customWidth="1"/>
    <col min="7940" max="7940" width="43.28515625" style="2" customWidth="1"/>
    <col min="7941" max="7941" width="15" style="2" customWidth="1"/>
    <col min="7942" max="7942" width="18.28515625" style="2" customWidth="1"/>
    <col min="7943" max="7943" width="15.28515625" style="2" customWidth="1"/>
    <col min="7944" max="7944" width="19.85546875" style="2" customWidth="1"/>
    <col min="7945" max="7945" width="9.140625" style="2"/>
    <col min="7946" max="7946" width="17.5703125" style="2" customWidth="1"/>
    <col min="7947" max="8192" width="9.140625" style="2"/>
    <col min="8193" max="8193" width="5.5703125" style="2" customWidth="1"/>
    <col min="8194" max="8194" width="10.28515625" style="2" customWidth="1"/>
    <col min="8195" max="8195" width="17.140625" style="2" customWidth="1"/>
    <col min="8196" max="8196" width="43.28515625" style="2" customWidth="1"/>
    <col min="8197" max="8197" width="15" style="2" customWidth="1"/>
    <col min="8198" max="8198" width="18.28515625" style="2" customWidth="1"/>
    <col min="8199" max="8199" width="15.28515625" style="2" customWidth="1"/>
    <col min="8200" max="8200" width="19.85546875" style="2" customWidth="1"/>
    <col min="8201" max="8201" width="9.140625" style="2"/>
    <col min="8202" max="8202" width="17.5703125" style="2" customWidth="1"/>
    <col min="8203" max="8448" width="9.140625" style="2"/>
    <col min="8449" max="8449" width="5.5703125" style="2" customWidth="1"/>
    <col min="8450" max="8450" width="10.28515625" style="2" customWidth="1"/>
    <col min="8451" max="8451" width="17.140625" style="2" customWidth="1"/>
    <col min="8452" max="8452" width="43.28515625" style="2" customWidth="1"/>
    <col min="8453" max="8453" width="15" style="2" customWidth="1"/>
    <col min="8454" max="8454" width="18.28515625" style="2" customWidth="1"/>
    <col min="8455" max="8455" width="15.28515625" style="2" customWidth="1"/>
    <col min="8456" max="8456" width="19.85546875" style="2" customWidth="1"/>
    <col min="8457" max="8457" width="9.140625" style="2"/>
    <col min="8458" max="8458" width="17.5703125" style="2" customWidth="1"/>
    <col min="8459" max="8704" width="9.140625" style="2"/>
    <col min="8705" max="8705" width="5.5703125" style="2" customWidth="1"/>
    <col min="8706" max="8706" width="10.28515625" style="2" customWidth="1"/>
    <col min="8707" max="8707" width="17.140625" style="2" customWidth="1"/>
    <col min="8708" max="8708" width="43.28515625" style="2" customWidth="1"/>
    <col min="8709" max="8709" width="15" style="2" customWidth="1"/>
    <col min="8710" max="8710" width="18.28515625" style="2" customWidth="1"/>
    <col min="8711" max="8711" width="15.28515625" style="2" customWidth="1"/>
    <col min="8712" max="8712" width="19.85546875" style="2" customWidth="1"/>
    <col min="8713" max="8713" width="9.140625" style="2"/>
    <col min="8714" max="8714" width="17.5703125" style="2" customWidth="1"/>
    <col min="8715" max="8960" width="9.140625" style="2"/>
    <col min="8961" max="8961" width="5.5703125" style="2" customWidth="1"/>
    <col min="8962" max="8962" width="10.28515625" style="2" customWidth="1"/>
    <col min="8963" max="8963" width="17.140625" style="2" customWidth="1"/>
    <col min="8964" max="8964" width="43.28515625" style="2" customWidth="1"/>
    <col min="8965" max="8965" width="15" style="2" customWidth="1"/>
    <col min="8966" max="8966" width="18.28515625" style="2" customWidth="1"/>
    <col min="8967" max="8967" width="15.28515625" style="2" customWidth="1"/>
    <col min="8968" max="8968" width="19.85546875" style="2" customWidth="1"/>
    <col min="8969" max="8969" width="9.140625" style="2"/>
    <col min="8970" max="8970" width="17.5703125" style="2" customWidth="1"/>
    <col min="8971" max="9216" width="9.140625" style="2"/>
    <col min="9217" max="9217" width="5.5703125" style="2" customWidth="1"/>
    <col min="9218" max="9218" width="10.28515625" style="2" customWidth="1"/>
    <col min="9219" max="9219" width="17.140625" style="2" customWidth="1"/>
    <col min="9220" max="9220" width="43.28515625" style="2" customWidth="1"/>
    <col min="9221" max="9221" width="15" style="2" customWidth="1"/>
    <col min="9222" max="9222" width="18.28515625" style="2" customWidth="1"/>
    <col min="9223" max="9223" width="15.28515625" style="2" customWidth="1"/>
    <col min="9224" max="9224" width="19.85546875" style="2" customWidth="1"/>
    <col min="9225" max="9225" width="9.140625" style="2"/>
    <col min="9226" max="9226" width="17.5703125" style="2" customWidth="1"/>
    <col min="9227" max="9472" width="9.140625" style="2"/>
    <col min="9473" max="9473" width="5.5703125" style="2" customWidth="1"/>
    <col min="9474" max="9474" width="10.28515625" style="2" customWidth="1"/>
    <col min="9475" max="9475" width="17.140625" style="2" customWidth="1"/>
    <col min="9476" max="9476" width="43.28515625" style="2" customWidth="1"/>
    <col min="9477" max="9477" width="15" style="2" customWidth="1"/>
    <col min="9478" max="9478" width="18.28515625" style="2" customWidth="1"/>
    <col min="9479" max="9479" width="15.28515625" style="2" customWidth="1"/>
    <col min="9480" max="9480" width="19.85546875" style="2" customWidth="1"/>
    <col min="9481" max="9481" width="9.140625" style="2"/>
    <col min="9482" max="9482" width="17.5703125" style="2" customWidth="1"/>
    <col min="9483" max="9728" width="9.140625" style="2"/>
    <col min="9729" max="9729" width="5.5703125" style="2" customWidth="1"/>
    <col min="9730" max="9730" width="10.28515625" style="2" customWidth="1"/>
    <col min="9731" max="9731" width="17.140625" style="2" customWidth="1"/>
    <col min="9732" max="9732" width="43.28515625" style="2" customWidth="1"/>
    <col min="9733" max="9733" width="15" style="2" customWidth="1"/>
    <col min="9734" max="9734" width="18.28515625" style="2" customWidth="1"/>
    <col min="9735" max="9735" width="15.28515625" style="2" customWidth="1"/>
    <col min="9736" max="9736" width="19.85546875" style="2" customWidth="1"/>
    <col min="9737" max="9737" width="9.140625" style="2"/>
    <col min="9738" max="9738" width="17.5703125" style="2" customWidth="1"/>
    <col min="9739" max="9984" width="9.140625" style="2"/>
    <col min="9985" max="9985" width="5.5703125" style="2" customWidth="1"/>
    <col min="9986" max="9986" width="10.28515625" style="2" customWidth="1"/>
    <col min="9987" max="9987" width="17.140625" style="2" customWidth="1"/>
    <col min="9988" max="9988" width="43.28515625" style="2" customWidth="1"/>
    <col min="9989" max="9989" width="15" style="2" customWidth="1"/>
    <col min="9990" max="9990" width="18.28515625" style="2" customWidth="1"/>
    <col min="9991" max="9991" width="15.28515625" style="2" customWidth="1"/>
    <col min="9992" max="9992" width="19.85546875" style="2" customWidth="1"/>
    <col min="9993" max="9993" width="9.140625" style="2"/>
    <col min="9994" max="9994" width="17.5703125" style="2" customWidth="1"/>
    <col min="9995" max="10240" width="9.140625" style="2"/>
    <col min="10241" max="10241" width="5.5703125" style="2" customWidth="1"/>
    <col min="10242" max="10242" width="10.28515625" style="2" customWidth="1"/>
    <col min="10243" max="10243" width="17.140625" style="2" customWidth="1"/>
    <col min="10244" max="10244" width="43.28515625" style="2" customWidth="1"/>
    <col min="10245" max="10245" width="15" style="2" customWidth="1"/>
    <col min="10246" max="10246" width="18.28515625" style="2" customWidth="1"/>
    <col min="10247" max="10247" width="15.28515625" style="2" customWidth="1"/>
    <col min="10248" max="10248" width="19.85546875" style="2" customWidth="1"/>
    <col min="10249" max="10249" width="9.140625" style="2"/>
    <col min="10250" max="10250" width="17.5703125" style="2" customWidth="1"/>
    <col min="10251" max="10496" width="9.140625" style="2"/>
    <col min="10497" max="10497" width="5.5703125" style="2" customWidth="1"/>
    <col min="10498" max="10498" width="10.28515625" style="2" customWidth="1"/>
    <col min="10499" max="10499" width="17.140625" style="2" customWidth="1"/>
    <col min="10500" max="10500" width="43.28515625" style="2" customWidth="1"/>
    <col min="10501" max="10501" width="15" style="2" customWidth="1"/>
    <col min="10502" max="10502" width="18.28515625" style="2" customWidth="1"/>
    <col min="10503" max="10503" width="15.28515625" style="2" customWidth="1"/>
    <col min="10504" max="10504" width="19.85546875" style="2" customWidth="1"/>
    <col min="10505" max="10505" width="9.140625" style="2"/>
    <col min="10506" max="10506" width="17.5703125" style="2" customWidth="1"/>
    <col min="10507" max="10752" width="9.140625" style="2"/>
    <col min="10753" max="10753" width="5.5703125" style="2" customWidth="1"/>
    <col min="10754" max="10754" width="10.28515625" style="2" customWidth="1"/>
    <col min="10755" max="10755" width="17.140625" style="2" customWidth="1"/>
    <col min="10756" max="10756" width="43.28515625" style="2" customWidth="1"/>
    <col min="10757" max="10757" width="15" style="2" customWidth="1"/>
    <col min="10758" max="10758" width="18.28515625" style="2" customWidth="1"/>
    <col min="10759" max="10759" width="15.28515625" style="2" customWidth="1"/>
    <col min="10760" max="10760" width="19.85546875" style="2" customWidth="1"/>
    <col min="10761" max="10761" width="9.140625" style="2"/>
    <col min="10762" max="10762" width="17.5703125" style="2" customWidth="1"/>
    <col min="10763" max="11008" width="9.140625" style="2"/>
    <col min="11009" max="11009" width="5.5703125" style="2" customWidth="1"/>
    <col min="11010" max="11010" width="10.28515625" style="2" customWidth="1"/>
    <col min="11011" max="11011" width="17.140625" style="2" customWidth="1"/>
    <col min="11012" max="11012" width="43.28515625" style="2" customWidth="1"/>
    <col min="11013" max="11013" width="15" style="2" customWidth="1"/>
    <col min="11014" max="11014" width="18.28515625" style="2" customWidth="1"/>
    <col min="11015" max="11015" width="15.28515625" style="2" customWidth="1"/>
    <col min="11016" max="11016" width="19.85546875" style="2" customWidth="1"/>
    <col min="11017" max="11017" width="9.140625" style="2"/>
    <col min="11018" max="11018" width="17.5703125" style="2" customWidth="1"/>
    <col min="11019" max="11264" width="9.140625" style="2"/>
    <col min="11265" max="11265" width="5.5703125" style="2" customWidth="1"/>
    <col min="11266" max="11266" width="10.28515625" style="2" customWidth="1"/>
    <col min="11267" max="11267" width="17.140625" style="2" customWidth="1"/>
    <col min="11268" max="11268" width="43.28515625" style="2" customWidth="1"/>
    <col min="11269" max="11269" width="15" style="2" customWidth="1"/>
    <col min="11270" max="11270" width="18.28515625" style="2" customWidth="1"/>
    <col min="11271" max="11271" width="15.28515625" style="2" customWidth="1"/>
    <col min="11272" max="11272" width="19.85546875" style="2" customWidth="1"/>
    <col min="11273" max="11273" width="9.140625" style="2"/>
    <col min="11274" max="11274" width="17.5703125" style="2" customWidth="1"/>
    <col min="11275" max="11520" width="9.140625" style="2"/>
    <col min="11521" max="11521" width="5.5703125" style="2" customWidth="1"/>
    <col min="11522" max="11522" width="10.28515625" style="2" customWidth="1"/>
    <col min="11523" max="11523" width="17.140625" style="2" customWidth="1"/>
    <col min="11524" max="11524" width="43.28515625" style="2" customWidth="1"/>
    <col min="11525" max="11525" width="15" style="2" customWidth="1"/>
    <col min="11526" max="11526" width="18.28515625" style="2" customWidth="1"/>
    <col min="11527" max="11527" width="15.28515625" style="2" customWidth="1"/>
    <col min="11528" max="11528" width="19.85546875" style="2" customWidth="1"/>
    <col min="11529" max="11529" width="9.140625" style="2"/>
    <col min="11530" max="11530" width="17.5703125" style="2" customWidth="1"/>
    <col min="11531" max="11776" width="9.140625" style="2"/>
    <col min="11777" max="11777" width="5.5703125" style="2" customWidth="1"/>
    <col min="11778" max="11778" width="10.28515625" style="2" customWidth="1"/>
    <col min="11779" max="11779" width="17.140625" style="2" customWidth="1"/>
    <col min="11780" max="11780" width="43.28515625" style="2" customWidth="1"/>
    <col min="11781" max="11781" width="15" style="2" customWidth="1"/>
    <col min="11782" max="11782" width="18.28515625" style="2" customWidth="1"/>
    <col min="11783" max="11783" width="15.28515625" style="2" customWidth="1"/>
    <col min="11784" max="11784" width="19.85546875" style="2" customWidth="1"/>
    <col min="11785" max="11785" width="9.140625" style="2"/>
    <col min="11786" max="11786" width="17.5703125" style="2" customWidth="1"/>
    <col min="11787" max="12032" width="9.140625" style="2"/>
    <col min="12033" max="12033" width="5.5703125" style="2" customWidth="1"/>
    <col min="12034" max="12034" width="10.28515625" style="2" customWidth="1"/>
    <col min="12035" max="12035" width="17.140625" style="2" customWidth="1"/>
    <col min="12036" max="12036" width="43.28515625" style="2" customWidth="1"/>
    <col min="12037" max="12037" width="15" style="2" customWidth="1"/>
    <col min="12038" max="12038" width="18.28515625" style="2" customWidth="1"/>
    <col min="12039" max="12039" width="15.28515625" style="2" customWidth="1"/>
    <col min="12040" max="12040" width="19.85546875" style="2" customWidth="1"/>
    <col min="12041" max="12041" width="9.140625" style="2"/>
    <col min="12042" max="12042" width="17.5703125" style="2" customWidth="1"/>
    <col min="12043" max="12288" width="9.140625" style="2"/>
    <col min="12289" max="12289" width="5.5703125" style="2" customWidth="1"/>
    <col min="12290" max="12290" width="10.28515625" style="2" customWidth="1"/>
    <col min="12291" max="12291" width="17.140625" style="2" customWidth="1"/>
    <col min="12292" max="12292" width="43.28515625" style="2" customWidth="1"/>
    <col min="12293" max="12293" width="15" style="2" customWidth="1"/>
    <col min="12294" max="12294" width="18.28515625" style="2" customWidth="1"/>
    <col min="12295" max="12295" width="15.28515625" style="2" customWidth="1"/>
    <col min="12296" max="12296" width="19.85546875" style="2" customWidth="1"/>
    <col min="12297" max="12297" width="9.140625" style="2"/>
    <col min="12298" max="12298" width="17.5703125" style="2" customWidth="1"/>
    <col min="12299" max="12544" width="9.140625" style="2"/>
    <col min="12545" max="12545" width="5.5703125" style="2" customWidth="1"/>
    <col min="12546" max="12546" width="10.28515625" style="2" customWidth="1"/>
    <col min="12547" max="12547" width="17.140625" style="2" customWidth="1"/>
    <col min="12548" max="12548" width="43.28515625" style="2" customWidth="1"/>
    <col min="12549" max="12549" width="15" style="2" customWidth="1"/>
    <col min="12550" max="12550" width="18.28515625" style="2" customWidth="1"/>
    <col min="12551" max="12551" width="15.28515625" style="2" customWidth="1"/>
    <col min="12552" max="12552" width="19.85546875" style="2" customWidth="1"/>
    <col min="12553" max="12553" width="9.140625" style="2"/>
    <col min="12554" max="12554" width="17.5703125" style="2" customWidth="1"/>
    <col min="12555" max="12800" width="9.140625" style="2"/>
    <col min="12801" max="12801" width="5.5703125" style="2" customWidth="1"/>
    <col min="12802" max="12802" width="10.28515625" style="2" customWidth="1"/>
    <col min="12803" max="12803" width="17.140625" style="2" customWidth="1"/>
    <col min="12804" max="12804" width="43.28515625" style="2" customWidth="1"/>
    <col min="12805" max="12805" width="15" style="2" customWidth="1"/>
    <col min="12806" max="12806" width="18.28515625" style="2" customWidth="1"/>
    <col min="12807" max="12807" width="15.28515625" style="2" customWidth="1"/>
    <col min="12808" max="12808" width="19.85546875" style="2" customWidth="1"/>
    <col min="12809" max="12809" width="9.140625" style="2"/>
    <col min="12810" max="12810" width="17.5703125" style="2" customWidth="1"/>
    <col min="12811" max="13056" width="9.140625" style="2"/>
    <col min="13057" max="13057" width="5.5703125" style="2" customWidth="1"/>
    <col min="13058" max="13058" width="10.28515625" style="2" customWidth="1"/>
    <col min="13059" max="13059" width="17.140625" style="2" customWidth="1"/>
    <col min="13060" max="13060" width="43.28515625" style="2" customWidth="1"/>
    <col min="13061" max="13061" width="15" style="2" customWidth="1"/>
    <col min="13062" max="13062" width="18.28515625" style="2" customWidth="1"/>
    <col min="13063" max="13063" width="15.28515625" style="2" customWidth="1"/>
    <col min="13064" max="13064" width="19.85546875" style="2" customWidth="1"/>
    <col min="13065" max="13065" width="9.140625" style="2"/>
    <col min="13066" max="13066" width="17.5703125" style="2" customWidth="1"/>
    <col min="13067" max="13312" width="9.140625" style="2"/>
    <col min="13313" max="13313" width="5.5703125" style="2" customWidth="1"/>
    <col min="13314" max="13314" width="10.28515625" style="2" customWidth="1"/>
    <col min="13315" max="13315" width="17.140625" style="2" customWidth="1"/>
    <col min="13316" max="13316" width="43.28515625" style="2" customWidth="1"/>
    <col min="13317" max="13317" width="15" style="2" customWidth="1"/>
    <col min="13318" max="13318" width="18.28515625" style="2" customWidth="1"/>
    <col min="13319" max="13319" width="15.28515625" style="2" customWidth="1"/>
    <col min="13320" max="13320" width="19.85546875" style="2" customWidth="1"/>
    <col min="13321" max="13321" width="9.140625" style="2"/>
    <col min="13322" max="13322" width="17.5703125" style="2" customWidth="1"/>
    <col min="13323" max="13568" width="9.140625" style="2"/>
    <col min="13569" max="13569" width="5.5703125" style="2" customWidth="1"/>
    <col min="13570" max="13570" width="10.28515625" style="2" customWidth="1"/>
    <col min="13571" max="13571" width="17.140625" style="2" customWidth="1"/>
    <col min="13572" max="13572" width="43.28515625" style="2" customWidth="1"/>
    <col min="13573" max="13573" width="15" style="2" customWidth="1"/>
    <col min="13574" max="13574" width="18.28515625" style="2" customWidth="1"/>
    <col min="13575" max="13575" width="15.28515625" style="2" customWidth="1"/>
    <col min="13576" max="13576" width="19.85546875" style="2" customWidth="1"/>
    <col min="13577" max="13577" width="9.140625" style="2"/>
    <col min="13578" max="13578" width="17.5703125" style="2" customWidth="1"/>
    <col min="13579" max="13824" width="9.140625" style="2"/>
    <col min="13825" max="13825" width="5.5703125" style="2" customWidth="1"/>
    <col min="13826" max="13826" width="10.28515625" style="2" customWidth="1"/>
    <col min="13827" max="13827" width="17.140625" style="2" customWidth="1"/>
    <col min="13828" max="13828" width="43.28515625" style="2" customWidth="1"/>
    <col min="13829" max="13829" width="15" style="2" customWidth="1"/>
    <col min="13830" max="13830" width="18.28515625" style="2" customWidth="1"/>
    <col min="13831" max="13831" width="15.28515625" style="2" customWidth="1"/>
    <col min="13832" max="13832" width="19.85546875" style="2" customWidth="1"/>
    <col min="13833" max="13833" width="9.140625" style="2"/>
    <col min="13834" max="13834" width="17.5703125" style="2" customWidth="1"/>
    <col min="13835" max="14080" width="9.140625" style="2"/>
    <col min="14081" max="14081" width="5.5703125" style="2" customWidth="1"/>
    <col min="14082" max="14082" width="10.28515625" style="2" customWidth="1"/>
    <col min="14083" max="14083" width="17.140625" style="2" customWidth="1"/>
    <col min="14084" max="14084" width="43.28515625" style="2" customWidth="1"/>
    <col min="14085" max="14085" width="15" style="2" customWidth="1"/>
    <col min="14086" max="14086" width="18.28515625" style="2" customWidth="1"/>
    <col min="14087" max="14087" width="15.28515625" style="2" customWidth="1"/>
    <col min="14088" max="14088" width="19.85546875" style="2" customWidth="1"/>
    <col min="14089" max="14089" width="9.140625" style="2"/>
    <col min="14090" max="14090" width="17.5703125" style="2" customWidth="1"/>
    <col min="14091" max="14336" width="9.140625" style="2"/>
    <col min="14337" max="14337" width="5.5703125" style="2" customWidth="1"/>
    <col min="14338" max="14338" width="10.28515625" style="2" customWidth="1"/>
    <col min="14339" max="14339" width="17.140625" style="2" customWidth="1"/>
    <col min="14340" max="14340" width="43.28515625" style="2" customWidth="1"/>
    <col min="14341" max="14341" width="15" style="2" customWidth="1"/>
    <col min="14342" max="14342" width="18.28515625" style="2" customWidth="1"/>
    <col min="14343" max="14343" width="15.28515625" style="2" customWidth="1"/>
    <col min="14344" max="14344" width="19.85546875" style="2" customWidth="1"/>
    <col min="14345" max="14345" width="9.140625" style="2"/>
    <col min="14346" max="14346" width="17.5703125" style="2" customWidth="1"/>
    <col min="14347" max="14592" width="9.140625" style="2"/>
    <col min="14593" max="14593" width="5.5703125" style="2" customWidth="1"/>
    <col min="14594" max="14594" width="10.28515625" style="2" customWidth="1"/>
    <col min="14595" max="14595" width="17.140625" style="2" customWidth="1"/>
    <col min="14596" max="14596" width="43.28515625" style="2" customWidth="1"/>
    <col min="14597" max="14597" width="15" style="2" customWidth="1"/>
    <col min="14598" max="14598" width="18.28515625" style="2" customWidth="1"/>
    <col min="14599" max="14599" width="15.28515625" style="2" customWidth="1"/>
    <col min="14600" max="14600" width="19.85546875" style="2" customWidth="1"/>
    <col min="14601" max="14601" width="9.140625" style="2"/>
    <col min="14602" max="14602" width="17.5703125" style="2" customWidth="1"/>
    <col min="14603" max="14848" width="9.140625" style="2"/>
    <col min="14849" max="14849" width="5.5703125" style="2" customWidth="1"/>
    <col min="14850" max="14850" width="10.28515625" style="2" customWidth="1"/>
    <col min="14851" max="14851" width="17.140625" style="2" customWidth="1"/>
    <col min="14852" max="14852" width="43.28515625" style="2" customWidth="1"/>
    <col min="14853" max="14853" width="15" style="2" customWidth="1"/>
    <col min="14854" max="14854" width="18.28515625" style="2" customWidth="1"/>
    <col min="14855" max="14855" width="15.28515625" style="2" customWidth="1"/>
    <col min="14856" max="14856" width="19.85546875" style="2" customWidth="1"/>
    <col min="14857" max="14857" width="9.140625" style="2"/>
    <col min="14858" max="14858" width="17.5703125" style="2" customWidth="1"/>
    <col min="14859" max="15104" width="9.140625" style="2"/>
    <col min="15105" max="15105" width="5.5703125" style="2" customWidth="1"/>
    <col min="15106" max="15106" width="10.28515625" style="2" customWidth="1"/>
    <col min="15107" max="15107" width="17.140625" style="2" customWidth="1"/>
    <col min="15108" max="15108" width="43.28515625" style="2" customWidth="1"/>
    <col min="15109" max="15109" width="15" style="2" customWidth="1"/>
    <col min="15110" max="15110" width="18.28515625" style="2" customWidth="1"/>
    <col min="15111" max="15111" width="15.28515625" style="2" customWidth="1"/>
    <col min="15112" max="15112" width="19.85546875" style="2" customWidth="1"/>
    <col min="15113" max="15113" width="9.140625" style="2"/>
    <col min="15114" max="15114" width="17.5703125" style="2" customWidth="1"/>
    <col min="15115" max="15360" width="9.140625" style="2"/>
    <col min="15361" max="15361" width="5.5703125" style="2" customWidth="1"/>
    <col min="15362" max="15362" width="10.28515625" style="2" customWidth="1"/>
    <col min="15363" max="15363" width="17.140625" style="2" customWidth="1"/>
    <col min="15364" max="15364" width="43.28515625" style="2" customWidth="1"/>
    <col min="15365" max="15365" width="15" style="2" customWidth="1"/>
    <col min="15366" max="15366" width="18.28515625" style="2" customWidth="1"/>
    <col min="15367" max="15367" width="15.28515625" style="2" customWidth="1"/>
    <col min="15368" max="15368" width="19.85546875" style="2" customWidth="1"/>
    <col min="15369" max="15369" width="9.140625" style="2"/>
    <col min="15370" max="15370" width="17.5703125" style="2" customWidth="1"/>
    <col min="15371" max="15616" width="9.140625" style="2"/>
    <col min="15617" max="15617" width="5.5703125" style="2" customWidth="1"/>
    <col min="15618" max="15618" width="10.28515625" style="2" customWidth="1"/>
    <col min="15619" max="15619" width="17.140625" style="2" customWidth="1"/>
    <col min="15620" max="15620" width="43.28515625" style="2" customWidth="1"/>
    <col min="15621" max="15621" width="15" style="2" customWidth="1"/>
    <col min="15622" max="15622" width="18.28515625" style="2" customWidth="1"/>
    <col min="15623" max="15623" width="15.28515625" style="2" customWidth="1"/>
    <col min="15624" max="15624" width="19.85546875" style="2" customWidth="1"/>
    <col min="15625" max="15625" width="9.140625" style="2"/>
    <col min="15626" max="15626" width="17.5703125" style="2" customWidth="1"/>
    <col min="15627" max="15872" width="9.140625" style="2"/>
    <col min="15873" max="15873" width="5.5703125" style="2" customWidth="1"/>
    <col min="15874" max="15874" width="10.28515625" style="2" customWidth="1"/>
    <col min="15875" max="15875" width="17.140625" style="2" customWidth="1"/>
    <col min="15876" max="15876" width="43.28515625" style="2" customWidth="1"/>
    <col min="15877" max="15877" width="15" style="2" customWidth="1"/>
    <col min="15878" max="15878" width="18.28515625" style="2" customWidth="1"/>
    <col min="15879" max="15879" width="15.28515625" style="2" customWidth="1"/>
    <col min="15880" max="15880" width="19.85546875" style="2" customWidth="1"/>
    <col min="15881" max="15881" width="9.140625" style="2"/>
    <col min="15882" max="15882" width="17.5703125" style="2" customWidth="1"/>
    <col min="15883" max="16128" width="9.140625" style="2"/>
    <col min="16129" max="16129" width="5.5703125" style="2" customWidth="1"/>
    <col min="16130" max="16130" width="10.28515625" style="2" customWidth="1"/>
    <col min="16131" max="16131" width="17.140625" style="2" customWidth="1"/>
    <col min="16132" max="16132" width="43.28515625" style="2" customWidth="1"/>
    <col min="16133" max="16133" width="15" style="2" customWidth="1"/>
    <col min="16134" max="16134" width="18.28515625" style="2" customWidth="1"/>
    <col min="16135" max="16135" width="15.28515625" style="2" customWidth="1"/>
    <col min="16136" max="16136" width="19.85546875" style="2" customWidth="1"/>
    <col min="16137" max="16137" width="9.140625" style="2"/>
    <col min="16138" max="16138" width="17.5703125" style="2" customWidth="1"/>
    <col min="16139" max="16384" width="9.140625" style="2"/>
  </cols>
  <sheetData>
    <row r="1" spans="1:12" s="1" customFormat="1" ht="18.75">
      <c r="A1" s="127" t="s">
        <v>50</v>
      </c>
      <c r="B1" s="127"/>
      <c r="C1" s="127"/>
      <c r="D1" s="127"/>
      <c r="E1" s="127"/>
      <c r="F1" s="127"/>
      <c r="G1" s="127"/>
      <c r="H1" s="127"/>
    </row>
    <row r="2" spans="1:12" ht="16.5" thickBot="1"/>
    <row r="3" spans="1:12" s="8" customFormat="1" ht="84" customHeight="1" thickBot="1">
      <c r="A3" s="80" t="s">
        <v>1</v>
      </c>
      <c r="B3" s="81" t="s">
        <v>2</v>
      </c>
      <c r="C3" s="82" t="s">
        <v>3</v>
      </c>
      <c r="D3" s="82" t="s">
        <v>4</v>
      </c>
      <c r="E3" s="82" t="s">
        <v>5</v>
      </c>
      <c r="F3" s="82" t="s">
        <v>6</v>
      </c>
      <c r="G3" s="82" t="s">
        <v>7</v>
      </c>
      <c r="H3" s="83" t="s">
        <v>8</v>
      </c>
      <c r="J3" s="128" t="s">
        <v>9</v>
      </c>
      <c r="K3" s="129"/>
      <c r="L3" s="129"/>
    </row>
    <row r="4" spans="1:12" ht="15.75" customHeight="1">
      <c r="A4" s="167">
        <v>1</v>
      </c>
      <c r="B4" s="170" t="s">
        <v>49</v>
      </c>
      <c r="C4" s="173" t="s">
        <v>11</v>
      </c>
      <c r="D4" s="84" t="s">
        <v>12</v>
      </c>
      <c r="E4" s="85" t="s">
        <v>13</v>
      </c>
      <c r="F4" s="86">
        <v>10.55</v>
      </c>
      <c r="G4" s="86">
        <v>189859.87</v>
      </c>
      <c r="H4" s="87">
        <f>F4*G4</f>
        <v>2003021.6285000001</v>
      </c>
    </row>
    <row r="5" spans="1:12" ht="20.25" customHeight="1">
      <c r="A5" s="168"/>
      <c r="B5" s="171"/>
      <c r="C5" s="174"/>
      <c r="D5" s="88" t="s">
        <v>16</v>
      </c>
      <c r="E5" s="89" t="s">
        <v>15</v>
      </c>
      <c r="F5" s="90">
        <v>5083.8959999999997</v>
      </c>
      <c r="G5" s="91">
        <v>165.15</v>
      </c>
      <c r="H5" s="92">
        <f>F5*G5</f>
        <v>839605.42440000002</v>
      </c>
    </row>
    <row r="6" spans="1:12" ht="16.5" customHeight="1">
      <c r="A6" s="168"/>
      <c r="B6" s="171"/>
      <c r="C6" s="174"/>
      <c r="D6" s="88" t="s">
        <v>17</v>
      </c>
      <c r="E6" s="89" t="s">
        <v>15</v>
      </c>
      <c r="F6" s="90">
        <v>329.51900000000001</v>
      </c>
      <c r="G6" s="91">
        <v>165.15</v>
      </c>
      <c r="H6" s="92">
        <f>F6*G6</f>
        <v>54420.062850000002</v>
      </c>
    </row>
    <row r="7" spans="1:12">
      <c r="A7" s="168"/>
      <c r="B7" s="171"/>
      <c r="C7" s="174"/>
      <c r="D7" s="88" t="s">
        <v>18</v>
      </c>
      <c r="E7" s="89" t="s">
        <v>15</v>
      </c>
      <c r="F7" s="90">
        <v>650.98299999999995</v>
      </c>
      <c r="G7" s="91">
        <v>165.15</v>
      </c>
      <c r="H7" s="92">
        <f>F7*G7</f>
        <v>107509.84245</v>
      </c>
    </row>
    <row r="8" spans="1:12">
      <c r="A8" s="168"/>
      <c r="B8" s="171"/>
      <c r="C8" s="174"/>
      <c r="D8" s="93" t="s">
        <v>19</v>
      </c>
      <c r="E8" s="94"/>
      <c r="F8" s="95">
        <f>F4</f>
        <v>10.55</v>
      </c>
      <c r="G8" s="95"/>
      <c r="H8" s="96">
        <f>H4</f>
        <v>2003021.6285000001</v>
      </c>
    </row>
    <row r="9" spans="1:12" ht="16.5" thickBot="1">
      <c r="A9" s="169"/>
      <c r="B9" s="172"/>
      <c r="C9" s="175"/>
      <c r="D9" s="97" t="s">
        <v>20</v>
      </c>
      <c r="E9" s="98"/>
      <c r="F9" s="99">
        <f>F5+F6+F7</f>
        <v>6064.3980000000001</v>
      </c>
      <c r="G9" s="100"/>
      <c r="H9" s="101">
        <f>H5+H6+H7</f>
        <v>1001535.3297</v>
      </c>
    </row>
    <row r="10" spans="1:12" ht="16.5" customHeight="1">
      <c r="A10" s="158">
        <v>2</v>
      </c>
      <c r="B10" s="161" t="s">
        <v>21</v>
      </c>
      <c r="C10" s="164" t="s">
        <v>11</v>
      </c>
      <c r="D10" s="84" t="s">
        <v>12</v>
      </c>
      <c r="E10" s="85" t="s">
        <v>13</v>
      </c>
      <c r="F10" s="86">
        <v>10.55</v>
      </c>
      <c r="G10" s="86">
        <v>189859.87</v>
      </c>
      <c r="H10" s="87">
        <f>F10*G10</f>
        <v>2003021.6285000001</v>
      </c>
    </row>
    <row r="11" spans="1:12" ht="21.75" customHeight="1">
      <c r="A11" s="159"/>
      <c r="B11" s="162"/>
      <c r="C11" s="165"/>
      <c r="D11" s="88" t="s">
        <v>16</v>
      </c>
      <c r="E11" s="89" t="s">
        <v>15</v>
      </c>
      <c r="F11" s="90">
        <v>4521.26</v>
      </c>
      <c r="G11" s="91">
        <v>165.15</v>
      </c>
      <c r="H11" s="92">
        <f>F11*G11</f>
        <v>746686.08900000004</v>
      </c>
    </row>
    <row r="12" spans="1:12" ht="21.75" customHeight="1">
      <c r="A12" s="159"/>
      <c r="B12" s="162"/>
      <c r="C12" s="165"/>
      <c r="D12" s="88" t="s">
        <v>17</v>
      </c>
      <c r="E12" s="89" t="s">
        <v>15</v>
      </c>
      <c r="F12" s="90">
        <v>254.66300000000001</v>
      </c>
      <c r="G12" s="91">
        <v>165.15</v>
      </c>
      <c r="H12" s="92">
        <f>F12*G12</f>
        <v>42057.594450000004</v>
      </c>
    </row>
    <row r="13" spans="1:12">
      <c r="A13" s="159"/>
      <c r="B13" s="162"/>
      <c r="C13" s="165"/>
      <c r="D13" s="88" t="s">
        <v>18</v>
      </c>
      <c r="E13" s="89" t="s">
        <v>15</v>
      </c>
      <c r="F13" s="90">
        <v>641.65599999999995</v>
      </c>
      <c r="G13" s="91">
        <v>165.15</v>
      </c>
      <c r="H13" s="92">
        <f>F13*G13</f>
        <v>105969.4884</v>
      </c>
    </row>
    <row r="14" spans="1:12">
      <c r="A14" s="159"/>
      <c r="B14" s="162"/>
      <c r="C14" s="165"/>
      <c r="D14" s="93" t="s">
        <v>19</v>
      </c>
      <c r="E14" s="94"/>
      <c r="F14" s="95">
        <f>F10</f>
        <v>10.55</v>
      </c>
      <c r="G14" s="95"/>
      <c r="H14" s="96">
        <f>H10</f>
        <v>2003021.6285000001</v>
      </c>
    </row>
    <row r="15" spans="1:12" ht="16.5" thickBot="1">
      <c r="A15" s="160"/>
      <c r="B15" s="163"/>
      <c r="C15" s="166"/>
      <c r="D15" s="102" t="s">
        <v>20</v>
      </c>
      <c r="E15" s="103"/>
      <c r="F15" s="99">
        <f>F11+F12+F13</f>
        <v>5417.5790000000006</v>
      </c>
      <c r="G15" s="100"/>
      <c r="H15" s="101">
        <f>H11+H12+H13</f>
        <v>894713.17185000004</v>
      </c>
    </row>
    <row r="16" spans="1:12" ht="16.5" customHeight="1">
      <c r="A16" s="158">
        <v>3</v>
      </c>
      <c r="B16" s="161" t="s">
        <v>47</v>
      </c>
      <c r="C16" s="164" t="s">
        <v>11</v>
      </c>
      <c r="D16" s="84" t="s">
        <v>12</v>
      </c>
      <c r="E16" s="85" t="s">
        <v>13</v>
      </c>
      <c r="F16" s="86">
        <v>10.55</v>
      </c>
      <c r="G16" s="86">
        <v>189859.87</v>
      </c>
      <c r="H16" s="87">
        <f>F16*G16</f>
        <v>2003021.6285000001</v>
      </c>
    </row>
    <row r="17" spans="1:8" ht="25.5">
      <c r="A17" s="159"/>
      <c r="B17" s="162"/>
      <c r="C17" s="165"/>
      <c r="D17" s="88" t="s">
        <v>16</v>
      </c>
      <c r="E17" s="89" t="s">
        <v>15</v>
      </c>
      <c r="F17" s="90">
        <v>4638.3440000000001</v>
      </c>
      <c r="G17" s="91">
        <v>165.15</v>
      </c>
      <c r="H17" s="92">
        <f>F17*G17</f>
        <v>766022.51160000009</v>
      </c>
    </row>
    <row r="18" spans="1:8" ht="25.5">
      <c r="A18" s="159"/>
      <c r="B18" s="162"/>
      <c r="C18" s="165"/>
      <c r="D18" s="88" t="s">
        <v>17</v>
      </c>
      <c r="E18" s="89" t="s">
        <v>15</v>
      </c>
      <c r="F18" s="90">
        <v>270.125</v>
      </c>
      <c r="G18" s="91">
        <v>165.15</v>
      </c>
      <c r="H18" s="92">
        <f>F18*G18</f>
        <v>44611.143750000003</v>
      </c>
    </row>
    <row r="19" spans="1:8">
      <c r="A19" s="159"/>
      <c r="B19" s="162"/>
      <c r="C19" s="165"/>
      <c r="D19" s="88" t="s">
        <v>18</v>
      </c>
      <c r="E19" s="89" t="s">
        <v>15</v>
      </c>
      <c r="F19" s="90">
        <v>641.79</v>
      </c>
      <c r="G19" s="91">
        <v>165.15</v>
      </c>
      <c r="H19" s="92">
        <f>F19*G19</f>
        <v>105991.6185</v>
      </c>
    </row>
    <row r="20" spans="1:8">
      <c r="A20" s="159"/>
      <c r="B20" s="162"/>
      <c r="C20" s="165"/>
      <c r="D20" s="93" t="s">
        <v>19</v>
      </c>
      <c r="E20" s="94"/>
      <c r="F20" s="95">
        <f>F16</f>
        <v>10.55</v>
      </c>
      <c r="G20" s="95"/>
      <c r="H20" s="96">
        <f>H16</f>
        <v>2003021.6285000001</v>
      </c>
    </row>
    <row r="21" spans="1:8" ht="16.5" thickBot="1">
      <c r="A21" s="160"/>
      <c r="B21" s="163"/>
      <c r="C21" s="166"/>
      <c r="D21" s="102" t="s">
        <v>20</v>
      </c>
      <c r="E21" s="103"/>
      <c r="F21" s="99">
        <f>F17+F18+F19</f>
        <v>5550.259</v>
      </c>
      <c r="G21" s="100"/>
      <c r="H21" s="101">
        <f>H17+H18+H19</f>
        <v>916625.27385000011</v>
      </c>
    </row>
    <row r="22" spans="1:8" ht="16.5" customHeight="1">
      <c r="A22" s="158">
        <v>4</v>
      </c>
      <c r="B22" s="161" t="s">
        <v>23</v>
      </c>
      <c r="C22" s="164" t="s">
        <v>11</v>
      </c>
      <c r="D22" s="84" t="s">
        <v>12</v>
      </c>
      <c r="E22" s="85" t="s">
        <v>13</v>
      </c>
      <c r="F22" s="86">
        <v>10.55</v>
      </c>
      <c r="G22" s="86">
        <v>189859.87</v>
      </c>
      <c r="H22" s="87">
        <f>F22*G22</f>
        <v>2003021.6285000001</v>
      </c>
    </row>
    <row r="23" spans="1:8" ht="25.5">
      <c r="A23" s="159"/>
      <c r="B23" s="162"/>
      <c r="C23" s="165"/>
      <c r="D23" s="88" t="s">
        <v>16</v>
      </c>
      <c r="E23" s="89" t="s">
        <v>15</v>
      </c>
      <c r="F23" s="90">
        <v>3377.902</v>
      </c>
      <c r="G23" s="91">
        <v>165.15</v>
      </c>
      <c r="H23" s="92">
        <f>F23*G23</f>
        <v>557860.51529999997</v>
      </c>
    </row>
    <row r="24" spans="1:8" ht="25.5">
      <c r="A24" s="159"/>
      <c r="B24" s="162"/>
      <c r="C24" s="165"/>
      <c r="D24" s="88" t="s">
        <v>17</v>
      </c>
      <c r="E24" s="89" t="s">
        <v>15</v>
      </c>
      <c r="F24" s="90">
        <v>222.69800000000001</v>
      </c>
      <c r="G24" s="91">
        <v>165.15</v>
      </c>
      <c r="H24" s="92">
        <f>F24*G24</f>
        <v>36778.574700000005</v>
      </c>
    </row>
    <row r="25" spans="1:8">
      <c r="A25" s="159"/>
      <c r="B25" s="162"/>
      <c r="C25" s="165"/>
      <c r="D25" s="88" t="s">
        <v>18</v>
      </c>
      <c r="E25" s="89" t="s">
        <v>15</v>
      </c>
      <c r="F25" s="90">
        <v>601.274</v>
      </c>
      <c r="G25" s="91">
        <v>165.15</v>
      </c>
      <c r="H25" s="92">
        <f>F25*G25</f>
        <v>99300.401100000003</v>
      </c>
    </row>
    <row r="26" spans="1:8">
      <c r="A26" s="159"/>
      <c r="B26" s="162"/>
      <c r="C26" s="165"/>
      <c r="D26" s="93" t="s">
        <v>19</v>
      </c>
      <c r="E26" s="94"/>
      <c r="F26" s="95">
        <f>F22</f>
        <v>10.55</v>
      </c>
      <c r="G26" s="95"/>
      <c r="H26" s="96">
        <f>H22</f>
        <v>2003021.6285000001</v>
      </c>
    </row>
    <row r="27" spans="1:8" ht="16.5" thickBot="1">
      <c r="A27" s="160"/>
      <c r="B27" s="163"/>
      <c r="C27" s="166"/>
      <c r="D27" s="102" t="s">
        <v>20</v>
      </c>
      <c r="E27" s="103"/>
      <c r="F27" s="99">
        <f>F23+F24+F25</f>
        <v>4201.8739999999998</v>
      </c>
      <c r="G27" s="100"/>
      <c r="H27" s="101">
        <f>H23+H24+H25</f>
        <v>693939.49109999998</v>
      </c>
    </row>
    <row r="28" spans="1:8">
      <c r="A28" s="158">
        <v>5</v>
      </c>
      <c r="B28" s="161" t="s">
        <v>24</v>
      </c>
      <c r="C28" s="164" t="s">
        <v>11</v>
      </c>
      <c r="D28" s="84" t="s">
        <v>12</v>
      </c>
      <c r="E28" s="85" t="s">
        <v>13</v>
      </c>
      <c r="F28" s="86">
        <v>10.55</v>
      </c>
      <c r="G28" s="86">
        <v>189859.87</v>
      </c>
      <c r="H28" s="87">
        <f>F28*G28</f>
        <v>2003021.6285000001</v>
      </c>
    </row>
    <row r="29" spans="1:8" ht="25.5">
      <c r="A29" s="159"/>
      <c r="B29" s="162"/>
      <c r="C29" s="165"/>
      <c r="D29" s="88" t="s">
        <v>16</v>
      </c>
      <c r="E29" s="89" t="s">
        <v>15</v>
      </c>
      <c r="F29" s="90">
        <v>2779.7330000000002</v>
      </c>
      <c r="G29" s="91">
        <v>165.15</v>
      </c>
      <c r="H29" s="92">
        <f>F29*G29</f>
        <v>459072.90495000005</v>
      </c>
    </row>
    <row r="30" spans="1:8" ht="25.5">
      <c r="A30" s="159"/>
      <c r="B30" s="162"/>
      <c r="C30" s="165"/>
      <c r="D30" s="88" t="s">
        <v>17</v>
      </c>
      <c r="E30" s="89" t="s">
        <v>15</v>
      </c>
      <c r="F30" s="90">
        <v>251.7</v>
      </c>
      <c r="G30" s="91">
        <v>165.15</v>
      </c>
      <c r="H30" s="92">
        <f>F30*G30</f>
        <v>41568.254999999997</v>
      </c>
    </row>
    <row r="31" spans="1:8">
      <c r="A31" s="159"/>
      <c r="B31" s="162"/>
      <c r="C31" s="165"/>
      <c r="D31" s="88" t="s">
        <v>18</v>
      </c>
      <c r="E31" s="89" t="s">
        <v>15</v>
      </c>
      <c r="F31" s="90">
        <v>609.04999999999995</v>
      </c>
      <c r="G31" s="91">
        <v>165.15</v>
      </c>
      <c r="H31" s="92">
        <f>F31*G31</f>
        <v>100584.6075</v>
      </c>
    </row>
    <row r="32" spans="1:8">
      <c r="A32" s="159"/>
      <c r="B32" s="162"/>
      <c r="C32" s="165"/>
      <c r="D32" s="93" t="s">
        <v>19</v>
      </c>
      <c r="E32" s="94"/>
      <c r="F32" s="95">
        <f>F28</f>
        <v>10.55</v>
      </c>
      <c r="G32" s="95"/>
      <c r="H32" s="96">
        <f>H28</f>
        <v>2003021.6285000001</v>
      </c>
    </row>
    <row r="33" spans="1:8" ht="16.5" thickBot="1">
      <c r="A33" s="160"/>
      <c r="B33" s="163"/>
      <c r="C33" s="166"/>
      <c r="D33" s="102" t="s">
        <v>20</v>
      </c>
      <c r="E33" s="103"/>
      <c r="F33" s="99">
        <f>F29+F30+F31</f>
        <v>3640.4830000000002</v>
      </c>
      <c r="G33" s="100"/>
      <c r="H33" s="101">
        <f>H29+H30+H31</f>
        <v>601225.76745000004</v>
      </c>
    </row>
    <row r="34" spans="1:8">
      <c r="A34" s="158">
        <v>6</v>
      </c>
      <c r="B34" s="161" t="s">
        <v>25</v>
      </c>
      <c r="C34" s="164" t="s">
        <v>11</v>
      </c>
      <c r="D34" s="84" t="s">
        <v>12</v>
      </c>
      <c r="E34" s="85" t="s">
        <v>13</v>
      </c>
      <c r="F34" s="86">
        <v>10.55</v>
      </c>
      <c r="G34" s="86">
        <v>189859.87</v>
      </c>
      <c r="H34" s="87">
        <f>F34*G34</f>
        <v>2003021.6285000001</v>
      </c>
    </row>
    <row r="35" spans="1:8" ht="25.5">
      <c r="A35" s="159"/>
      <c r="B35" s="162"/>
      <c r="C35" s="165"/>
      <c r="D35" s="88" t="s">
        <v>16</v>
      </c>
      <c r="E35" s="89" t="s">
        <v>15</v>
      </c>
      <c r="F35" s="90">
        <v>3490.6570000000002</v>
      </c>
      <c r="G35" s="91">
        <v>165.15</v>
      </c>
      <c r="H35" s="92">
        <f>F35*G35</f>
        <v>576482.00355000002</v>
      </c>
    </row>
    <row r="36" spans="1:8" ht="25.5">
      <c r="A36" s="159"/>
      <c r="B36" s="162"/>
      <c r="C36" s="165"/>
      <c r="D36" s="88" t="s">
        <v>17</v>
      </c>
      <c r="E36" s="89" t="s">
        <v>15</v>
      </c>
      <c r="F36" s="90">
        <v>266.14699999999999</v>
      </c>
      <c r="G36" s="91">
        <v>165.15</v>
      </c>
      <c r="H36" s="92">
        <f>F36*G36</f>
        <v>43954.177049999998</v>
      </c>
    </row>
    <row r="37" spans="1:8">
      <c r="A37" s="159"/>
      <c r="B37" s="162"/>
      <c r="C37" s="165"/>
      <c r="D37" s="88" t="s">
        <v>18</v>
      </c>
      <c r="E37" s="89" t="s">
        <v>15</v>
      </c>
      <c r="F37" s="90">
        <v>662.10500000000002</v>
      </c>
      <c r="G37" s="91">
        <v>165.15</v>
      </c>
      <c r="H37" s="92">
        <f>F37*G37</f>
        <v>109346.64075000001</v>
      </c>
    </row>
    <row r="38" spans="1:8">
      <c r="A38" s="159"/>
      <c r="B38" s="162"/>
      <c r="C38" s="165"/>
      <c r="D38" s="93" t="s">
        <v>19</v>
      </c>
      <c r="E38" s="94"/>
      <c r="F38" s="95">
        <f>F34</f>
        <v>10.55</v>
      </c>
      <c r="G38" s="95"/>
      <c r="H38" s="96">
        <f>H34</f>
        <v>2003021.6285000001</v>
      </c>
    </row>
    <row r="39" spans="1:8" ht="16.5" thickBot="1">
      <c r="A39" s="160"/>
      <c r="B39" s="163"/>
      <c r="C39" s="166"/>
      <c r="D39" s="102" t="s">
        <v>20</v>
      </c>
      <c r="E39" s="103"/>
      <c r="F39" s="99">
        <f>F35+F36+F37</f>
        <v>4418.9089999999997</v>
      </c>
      <c r="G39" s="100"/>
      <c r="H39" s="101">
        <f>H35+H36+H37</f>
        <v>729782.8213500001</v>
      </c>
    </row>
    <row r="40" spans="1:8">
      <c r="A40" s="158">
        <v>7</v>
      </c>
      <c r="B40" s="161" t="s">
        <v>26</v>
      </c>
      <c r="C40" s="164" t="s">
        <v>11</v>
      </c>
      <c r="D40" s="84" t="s">
        <v>12</v>
      </c>
      <c r="E40" s="85" t="s">
        <v>13</v>
      </c>
      <c r="F40" s="86">
        <v>10.55</v>
      </c>
      <c r="G40" s="86">
        <v>189859.87</v>
      </c>
      <c r="H40" s="87">
        <f>F40*G40</f>
        <v>2003021.6285000001</v>
      </c>
    </row>
    <row r="41" spans="1:8" ht="25.5">
      <c r="A41" s="159"/>
      <c r="B41" s="162"/>
      <c r="C41" s="165"/>
      <c r="D41" s="88" t="s">
        <v>16</v>
      </c>
      <c r="E41" s="89" t="s">
        <v>15</v>
      </c>
      <c r="F41" s="90">
        <v>4337.4189999999999</v>
      </c>
      <c r="G41" s="91">
        <v>165.15</v>
      </c>
      <c r="H41" s="92">
        <f>F41*G41</f>
        <v>716324.74785000004</v>
      </c>
    </row>
    <row r="42" spans="1:8" ht="25.5">
      <c r="A42" s="159"/>
      <c r="B42" s="162"/>
      <c r="C42" s="165"/>
      <c r="D42" s="88" t="s">
        <v>17</v>
      </c>
      <c r="E42" s="89" t="s">
        <v>15</v>
      </c>
      <c r="F42" s="90">
        <v>298.34500000000003</v>
      </c>
      <c r="G42" s="91">
        <v>165.15</v>
      </c>
      <c r="H42" s="92">
        <f>F42*G42</f>
        <v>49271.676750000006</v>
      </c>
    </row>
    <row r="43" spans="1:8">
      <c r="A43" s="159"/>
      <c r="B43" s="162"/>
      <c r="C43" s="165"/>
      <c r="D43" s="88" t="s">
        <v>18</v>
      </c>
      <c r="E43" s="89" t="s">
        <v>15</v>
      </c>
      <c r="F43" s="90">
        <v>829.62900000000002</v>
      </c>
      <c r="G43" s="91">
        <v>165.15</v>
      </c>
      <c r="H43" s="92">
        <f>F43*G43</f>
        <v>137013.22935000001</v>
      </c>
    </row>
    <row r="44" spans="1:8">
      <c r="A44" s="159"/>
      <c r="B44" s="162"/>
      <c r="C44" s="165"/>
      <c r="D44" s="93" t="s">
        <v>19</v>
      </c>
      <c r="E44" s="94"/>
      <c r="F44" s="95">
        <f>F40</f>
        <v>10.55</v>
      </c>
      <c r="G44" s="95"/>
      <c r="H44" s="96">
        <f>H40</f>
        <v>2003021.6285000001</v>
      </c>
    </row>
    <row r="45" spans="1:8" ht="16.5" thickBot="1">
      <c r="A45" s="160"/>
      <c r="B45" s="163"/>
      <c r="C45" s="166"/>
      <c r="D45" s="102" t="s">
        <v>20</v>
      </c>
      <c r="E45" s="103"/>
      <c r="F45" s="99">
        <f>F41+F42+F43</f>
        <v>5465.393</v>
      </c>
      <c r="G45" s="100"/>
      <c r="H45" s="101">
        <f>H41+H42+H43</f>
        <v>902609.65395000007</v>
      </c>
    </row>
    <row r="46" spans="1:8">
      <c r="A46" s="158">
        <v>8</v>
      </c>
      <c r="B46" s="161" t="s">
        <v>27</v>
      </c>
      <c r="C46" s="164" t="s">
        <v>11</v>
      </c>
      <c r="D46" s="84" t="s">
        <v>12</v>
      </c>
      <c r="E46" s="85" t="s">
        <v>13</v>
      </c>
      <c r="F46" s="86">
        <v>10.55</v>
      </c>
      <c r="G46" s="86">
        <v>189859.87</v>
      </c>
      <c r="H46" s="87">
        <f>F46*G46</f>
        <v>2003021.6285000001</v>
      </c>
    </row>
    <row r="47" spans="1:8" ht="25.5">
      <c r="A47" s="159"/>
      <c r="B47" s="162"/>
      <c r="C47" s="165"/>
      <c r="D47" s="88" t="s">
        <v>16</v>
      </c>
      <c r="E47" s="89" t="s">
        <v>15</v>
      </c>
      <c r="F47" s="90">
        <v>4137.2190000000001</v>
      </c>
      <c r="G47" s="91">
        <v>165.15</v>
      </c>
      <c r="H47" s="92">
        <f>F47*G47</f>
        <v>683261.71785000002</v>
      </c>
    </row>
    <row r="48" spans="1:8" ht="25.5">
      <c r="A48" s="159"/>
      <c r="B48" s="162"/>
      <c r="C48" s="165"/>
      <c r="D48" s="88" t="s">
        <v>17</v>
      </c>
      <c r="E48" s="89" t="s">
        <v>15</v>
      </c>
      <c r="F48" s="90">
        <v>282.05099999999999</v>
      </c>
      <c r="G48" s="91">
        <v>165.15</v>
      </c>
      <c r="H48" s="92">
        <f>F48*G48</f>
        <v>46580.722649999996</v>
      </c>
    </row>
    <row r="49" spans="1:8">
      <c r="A49" s="159"/>
      <c r="B49" s="162"/>
      <c r="C49" s="165"/>
      <c r="D49" s="88" t="s">
        <v>18</v>
      </c>
      <c r="E49" s="89" t="s">
        <v>15</v>
      </c>
      <c r="F49" s="90">
        <v>838.87699999999995</v>
      </c>
      <c r="G49" s="91">
        <v>165.15</v>
      </c>
      <c r="H49" s="92">
        <f>F49*G49</f>
        <v>138540.53654999999</v>
      </c>
    </row>
    <row r="50" spans="1:8">
      <c r="A50" s="159"/>
      <c r="B50" s="162"/>
      <c r="C50" s="165"/>
      <c r="D50" s="93" t="s">
        <v>19</v>
      </c>
      <c r="E50" s="94"/>
      <c r="F50" s="95">
        <f>F46</f>
        <v>10.55</v>
      </c>
      <c r="G50" s="95"/>
      <c r="H50" s="96">
        <f>H46</f>
        <v>2003021.6285000001</v>
      </c>
    </row>
    <row r="51" spans="1:8" ht="16.5" thickBot="1">
      <c r="A51" s="160"/>
      <c r="B51" s="163"/>
      <c r="C51" s="166"/>
      <c r="D51" s="102" t="s">
        <v>20</v>
      </c>
      <c r="E51" s="103"/>
      <c r="F51" s="99">
        <f>F47+F48+F49</f>
        <v>5258.1470000000008</v>
      </c>
      <c r="G51" s="100"/>
      <c r="H51" s="101">
        <f>H47+H48+H49</f>
        <v>868382.97704999999</v>
      </c>
    </row>
    <row r="52" spans="1:8">
      <c r="A52" s="158">
        <v>9</v>
      </c>
      <c r="B52" s="161" t="s">
        <v>28</v>
      </c>
      <c r="C52" s="164" t="s">
        <v>11</v>
      </c>
      <c r="D52" s="84" t="s">
        <v>12</v>
      </c>
      <c r="E52" s="85" t="s">
        <v>13</v>
      </c>
      <c r="F52" s="86">
        <v>10.55</v>
      </c>
      <c r="G52" s="86">
        <v>189859.87</v>
      </c>
      <c r="H52" s="87">
        <f>F52*G52</f>
        <v>2003021.6285000001</v>
      </c>
    </row>
    <row r="53" spans="1:8" ht="25.5">
      <c r="A53" s="159"/>
      <c r="B53" s="162"/>
      <c r="C53" s="165"/>
      <c r="D53" s="88" t="s">
        <v>16</v>
      </c>
      <c r="E53" s="89" t="s">
        <v>15</v>
      </c>
      <c r="F53" s="90">
        <v>3311.5790000000002</v>
      </c>
      <c r="G53" s="91">
        <v>165.15</v>
      </c>
      <c r="H53" s="92">
        <f>F53*G53</f>
        <v>546907.27185000002</v>
      </c>
    </row>
    <row r="54" spans="1:8" ht="25.5">
      <c r="A54" s="159"/>
      <c r="B54" s="162"/>
      <c r="C54" s="165"/>
      <c r="D54" s="88" t="s">
        <v>17</v>
      </c>
      <c r="E54" s="89" t="s">
        <v>15</v>
      </c>
      <c r="F54" s="90">
        <v>244.64400000000001</v>
      </c>
      <c r="G54" s="91">
        <v>165.15</v>
      </c>
      <c r="H54" s="92">
        <f>F54*G54</f>
        <v>40402.956600000005</v>
      </c>
    </row>
    <row r="55" spans="1:8">
      <c r="A55" s="159"/>
      <c r="B55" s="162"/>
      <c r="C55" s="165"/>
      <c r="D55" s="88" t="s">
        <v>18</v>
      </c>
      <c r="E55" s="89" t="s">
        <v>15</v>
      </c>
      <c r="F55" s="90">
        <v>732.91700000000003</v>
      </c>
      <c r="G55" s="91">
        <v>165.15</v>
      </c>
      <c r="H55" s="92">
        <f>F55*G55</f>
        <v>121041.24255000001</v>
      </c>
    </row>
    <row r="56" spans="1:8">
      <c r="A56" s="159"/>
      <c r="B56" s="162"/>
      <c r="C56" s="165"/>
      <c r="D56" s="93" t="s">
        <v>19</v>
      </c>
      <c r="E56" s="94"/>
      <c r="F56" s="95">
        <f>F52</f>
        <v>10.55</v>
      </c>
      <c r="G56" s="95"/>
      <c r="H56" s="96">
        <f>H52</f>
        <v>2003021.6285000001</v>
      </c>
    </row>
    <row r="57" spans="1:8" ht="16.5" thickBot="1">
      <c r="A57" s="160"/>
      <c r="B57" s="163"/>
      <c r="C57" s="166"/>
      <c r="D57" s="102" t="s">
        <v>20</v>
      </c>
      <c r="E57" s="103"/>
      <c r="F57" s="99">
        <f>F53+F54+F55</f>
        <v>4289.1400000000003</v>
      </c>
      <c r="G57" s="100"/>
      <c r="H57" s="101">
        <f>H53+H54+H55</f>
        <v>708351.47100000002</v>
      </c>
    </row>
    <row r="58" spans="1:8">
      <c r="A58" s="158">
        <v>10</v>
      </c>
      <c r="B58" s="161" t="s">
        <v>29</v>
      </c>
      <c r="C58" s="164" t="s">
        <v>11</v>
      </c>
      <c r="D58" s="84" t="s">
        <v>12</v>
      </c>
      <c r="E58" s="85" t="s">
        <v>13</v>
      </c>
      <c r="F58" s="86">
        <v>10.55</v>
      </c>
      <c r="G58" s="86">
        <v>189859.87</v>
      </c>
      <c r="H58" s="87">
        <f>F58*G58</f>
        <v>2003021.6285000001</v>
      </c>
    </row>
    <row r="59" spans="1:8" ht="25.5">
      <c r="A59" s="159"/>
      <c r="B59" s="162"/>
      <c r="C59" s="165"/>
      <c r="D59" s="88" t="s">
        <v>16</v>
      </c>
      <c r="E59" s="89" t="s">
        <v>15</v>
      </c>
      <c r="F59" s="90"/>
      <c r="G59" s="91">
        <v>165.15</v>
      </c>
      <c r="H59" s="92">
        <f>F59*G59</f>
        <v>0</v>
      </c>
    </row>
    <row r="60" spans="1:8" ht="25.5">
      <c r="A60" s="159"/>
      <c r="B60" s="162"/>
      <c r="C60" s="165"/>
      <c r="D60" s="88" t="s">
        <v>17</v>
      </c>
      <c r="E60" s="89" t="s">
        <v>15</v>
      </c>
      <c r="F60" s="90"/>
      <c r="G60" s="91">
        <v>165.15</v>
      </c>
      <c r="H60" s="92">
        <f>F60*G60</f>
        <v>0</v>
      </c>
    </row>
    <row r="61" spans="1:8">
      <c r="A61" s="159"/>
      <c r="B61" s="162"/>
      <c r="C61" s="165"/>
      <c r="D61" s="88" t="s">
        <v>18</v>
      </c>
      <c r="E61" s="89" t="s">
        <v>15</v>
      </c>
      <c r="F61" s="90"/>
      <c r="G61" s="91">
        <v>165.15</v>
      </c>
      <c r="H61" s="92">
        <f>F61*G61</f>
        <v>0</v>
      </c>
    </row>
    <row r="62" spans="1:8">
      <c r="A62" s="159"/>
      <c r="B62" s="162"/>
      <c r="C62" s="165"/>
      <c r="D62" s="93" t="s">
        <v>19</v>
      </c>
      <c r="E62" s="94"/>
      <c r="F62" s="95">
        <f>F58</f>
        <v>10.55</v>
      </c>
      <c r="G62" s="95"/>
      <c r="H62" s="96">
        <f>H58</f>
        <v>2003021.6285000001</v>
      </c>
    </row>
    <row r="63" spans="1:8" ht="16.5" thickBot="1">
      <c r="A63" s="160"/>
      <c r="B63" s="163"/>
      <c r="C63" s="166"/>
      <c r="D63" s="102" t="s">
        <v>20</v>
      </c>
      <c r="E63" s="103"/>
      <c r="F63" s="99">
        <f>F59+F60+F61</f>
        <v>0</v>
      </c>
      <c r="G63" s="100"/>
      <c r="H63" s="101">
        <f>H59+H60+H61</f>
        <v>0</v>
      </c>
    </row>
    <row r="64" spans="1:8">
      <c r="A64" s="158">
        <v>11</v>
      </c>
      <c r="B64" s="161" t="s">
        <v>30</v>
      </c>
      <c r="C64" s="164" t="s">
        <v>11</v>
      </c>
      <c r="D64" s="84" t="s">
        <v>12</v>
      </c>
      <c r="E64" s="85" t="s">
        <v>13</v>
      </c>
      <c r="F64" s="86">
        <v>10.55</v>
      </c>
      <c r="G64" s="86">
        <v>189859.87</v>
      </c>
      <c r="H64" s="87">
        <f>F64*G64</f>
        <v>2003021.6285000001</v>
      </c>
    </row>
    <row r="65" spans="1:10" ht="25.5">
      <c r="A65" s="159"/>
      <c r="B65" s="162"/>
      <c r="C65" s="165"/>
      <c r="D65" s="88" t="s">
        <v>16</v>
      </c>
      <c r="E65" s="89" t="s">
        <v>15</v>
      </c>
      <c r="F65" s="90"/>
      <c r="G65" s="91">
        <v>165.15</v>
      </c>
      <c r="H65" s="92">
        <f>F65*G65</f>
        <v>0</v>
      </c>
    </row>
    <row r="66" spans="1:10" ht="25.5">
      <c r="A66" s="159"/>
      <c r="B66" s="162"/>
      <c r="C66" s="165"/>
      <c r="D66" s="88" t="s">
        <v>17</v>
      </c>
      <c r="E66" s="89" t="s">
        <v>15</v>
      </c>
      <c r="F66" s="90"/>
      <c r="G66" s="91">
        <v>165.15</v>
      </c>
      <c r="H66" s="92">
        <f>F66*G66</f>
        <v>0</v>
      </c>
    </row>
    <row r="67" spans="1:10">
      <c r="A67" s="159"/>
      <c r="B67" s="162"/>
      <c r="C67" s="165"/>
      <c r="D67" s="88" t="s">
        <v>18</v>
      </c>
      <c r="E67" s="89" t="s">
        <v>15</v>
      </c>
      <c r="F67" s="90"/>
      <c r="G67" s="91">
        <v>165.15</v>
      </c>
      <c r="H67" s="92">
        <f>F67*G67</f>
        <v>0</v>
      </c>
    </row>
    <row r="68" spans="1:10">
      <c r="A68" s="159"/>
      <c r="B68" s="162"/>
      <c r="C68" s="165"/>
      <c r="D68" s="93" t="s">
        <v>19</v>
      </c>
      <c r="E68" s="94"/>
      <c r="F68" s="95">
        <f>F64</f>
        <v>10.55</v>
      </c>
      <c r="G68" s="95"/>
      <c r="H68" s="96">
        <f>H64</f>
        <v>2003021.6285000001</v>
      </c>
    </row>
    <row r="69" spans="1:10" ht="16.5" thickBot="1">
      <c r="A69" s="160"/>
      <c r="B69" s="163"/>
      <c r="C69" s="166"/>
      <c r="D69" s="102" t="s">
        <v>20</v>
      </c>
      <c r="E69" s="103"/>
      <c r="F69" s="99">
        <f>F65+F66+F67</f>
        <v>0</v>
      </c>
      <c r="G69" s="100"/>
      <c r="H69" s="101">
        <f>H65+H66+H67</f>
        <v>0</v>
      </c>
    </row>
    <row r="70" spans="1:10">
      <c r="A70" s="158">
        <v>12</v>
      </c>
      <c r="B70" s="161" t="s">
        <v>31</v>
      </c>
      <c r="C70" s="164" t="s">
        <v>11</v>
      </c>
      <c r="D70" s="84" t="s">
        <v>12</v>
      </c>
      <c r="E70" s="85" t="s">
        <v>13</v>
      </c>
      <c r="F70" s="86">
        <v>10.55</v>
      </c>
      <c r="G70" s="86">
        <v>189859.87</v>
      </c>
      <c r="H70" s="87">
        <f>F70*G70</f>
        <v>2003021.6285000001</v>
      </c>
    </row>
    <row r="71" spans="1:10" ht="25.5">
      <c r="A71" s="159"/>
      <c r="B71" s="162"/>
      <c r="C71" s="165"/>
      <c r="D71" s="88" t="s">
        <v>16</v>
      </c>
      <c r="E71" s="89" t="s">
        <v>15</v>
      </c>
      <c r="F71" s="90"/>
      <c r="G71" s="91">
        <v>165.15</v>
      </c>
      <c r="H71" s="92">
        <f>F71*G71</f>
        <v>0</v>
      </c>
    </row>
    <row r="72" spans="1:10" ht="25.5">
      <c r="A72" s="159"/>
      <c r="B72" s="162"/>
      <c r="C72" s="165"/>
      <c r="D72" s="88" t="s">
        <v>17</v>
      </c>
      <c r="E72" s="89" t="s">
        <v>15</v>
      </c>
      <c r="F72" s="90"/>
      <c r="G72" s="91">
        <v>165.15</v>
      </c>
      <c r="H72" s="92">
        <f>F72*G72</f>
        <v>0</v>
      </c>
    </row>
    <row r="73" spans="1:10">
      <c r="A73" s="159"/>
      <c r="B73" s="162"/>
      <c r="C73" s="165"/>
      <c r="D73" s="88" t="s">
        <v>18</v>
      </c>
      <c r="E73" s="89" t="s">
        <v>15</v>
      </c>
      <c r="F73" s="90"/>
      <c r="G73" s="91">
        <v>165.15</v>
      </c>
      <c r="H73" s="92">
        <f>F73*G73</f>
        <v>0</v>
      </c>
    </row>
    <row r="74" spans="1:10">
      <c r="A74" s="159"/>
      <c r="B74" s="162"/>
      <c r="C74" s="165"/>
      <c r="D74" s="93" t="s">
        <v>19</v>
      </c>
      <c r="E74" s="94"/>
      <c r="F74" s="95">
        <f>F70</f>
        <v>10.55</v>
      </c>
      <c r="G74" s="95"/>
      <c r="H74" s="96">
        <f>H70</f>
        <v>2003021.6285000001</v>
      </c>
    </row>
    <row r="75" spans="1:10" ht="16.5" thickBot="1">
      <c r="A75" s="160"/>
      <c r="B75" s="163"/>
      <c r="C75" s="166"/>
      <c r="D75" s="102" t="s">
        <v>20</v>
      </c>
      <c r="E75" s="103"/>
      <c r="F75" s="99">
        <f>F71+F72+F73</f>
        <v>0</v>
      </c>
      <c r="G75" s="100"/>
      <c r="H75" s="101">
        <f>H71+H72+H73</f>
        <v>0</v>
      </c>
    </row>
    <row r="76" spans="1:10">
      <c r="A76" s="158">
        <v>13</v>
      </c>
      <c r="B76" s="161">
        <v>2018</v>
      </c>
      <c r="C76" s="164" t="s">
        <v>11</v>
      </c>
      <c r="D76" s="84" t="s">
        <v>12</v>
      </c>
      <c r="E76" s="85" t="s">
        <v>13</v>
      </c>
      <c r="F76" s="86">
        <v>10.55</v>
      </c>
      <c r="G76" s="86">
        <v>189859.87</v>
      </c>
      <c r="H76" s="87">
        <f>F76*G76*12</f>
        <v>24036259.542000003</v>
      </c>
      <c r="J76" s="46"/>
    </row>
    <row r="77" spans="1:10" ht="25.5">
      <c r="A77" s="159"/>
      <c r="B77" s="162"/>
      <c r="C77" s="165"/>
      <c r="D77" s="88" t="s">
        <v>16</v>
      </c>
      <c r="E77" s="89" t="s">
        <v>15</v>
      </c>
      <c r="F77" s="90">
        <f>F5+F11+F17+F23+F29+F35+F41+F47+F53+F59+F65+F71</f>
        <v>35678.009000000005</v>
      </c>
      <c r="G77" s="91">
        <v>165.15</v>
      </c>
      <c r="H77" s="92">
        <f>H5+H11+H17+H23+H29+H35+H41+H47+H53+H59+H65+H71</f>
        <v>5892223.1863500001</v>
      </c>
    </row>
    <row r="78" spans="1:10" ht="25.5">
      <c r="A78" s="159"/>
      <c r="B78" s="162"/>
      <c r="C78" s="165"/>
      <c r="D78" s="88" t="s">
        <v>17</v>
      </c>
      <c r="E78" s="89" t="s">
        <v>15</v>
      </c>
      <c r="F78" s="90">
        <f>F6+F12+F18+F24+F30+F36+F42+F48+F54+F60+F66+F72</f>
        <v>2419.8919999999998</v>
      </c>
      <c r="G78" s="91">
        <v>165.15</v>
      </c>
      <c r="H78" s="92">
        <f>H6+H12+H18+H24+H30+H36+H42+H48+H54+H60+H66+H72</f>
        <v>399645.16379999998</v>
      </c>
    </row>
    <row r="79" spans="1:10">
      <c r="A79" s="159"/>
      <c r="B79" s="162"/>
      <c r="C79" s="165"/>
      <c r="D79" s="88" t="s">
        <v>18</v>
      </c>
      <c r="E79" s="89" t="s">
        <v>15</v>
      </c>
      <c r="F79" s="90">
        <f>F7+F13+F19+F25+F31+F37+F43+F49+F55+F61+F67+F73</f>
        <v>6208.2809999999999</v>
      </c>
      <c r="G79" s="91">
        <v>165.15</v>
      </c>
      <c r="H79" s="92">
        <f>H7+H13+H19+H25+H31+H37+H43+H49+H55+H61+H67+H73</f>
        <v>1025297.6071499999</v>
      </c>
    </row>
    <row r="80" spans="1:10">
      <c r="A80" s="159"/>
      <c r="B80" s="162"/>
      <c r="C80" s="165"/>
      <c r="D80" s="93" t="s">
        <v>19</v>
      </c>
      <c r="E80" s="94"/>
      <c r="F80" s="95">
        <f>F76</f>
        <v>10.55</v>
      </c>
      <c r="G80" s="95"/>
      <c r="H80" s="96">
        <f>H76</f>
        <v>24036259.542000003</v>
      </c>
    </row>
    <row r="81" spans="1:10" ht="16.5" thickBot="1">
      <c r="A81" s="160"/>
      <c r="B81" s="163"/>
      <c r="C81" s="166"/>
      <c r="D81" s="102" t="s">
        <v>20</v>
      </c>
      <c r="E81" s="103"/>
      <c r="F81" s="104">
        <f>F77+F78+F79</f>
        <v>44306.182000000008</v>
      </c>
      <c r="G81" s="105"/>
      <c r="H81" s="106">
        <f>H77+H78+H79</f>
        <v>7317165.9572999999</v>
      </c>
      <c r="J81" s="27"/>
    </row>
    <row r="82" spans="1:10">
      <c r="A82" s="50"/>
      <c r="B82" s="50"/>
      <c r="C82" s="51"/>
      <c r="D82" s="52"/>
      <c r="E82" s="53"/>
      <c r="F82" s="54"/>
      <c r="G82" s="55"/>
      <c r="H82" s="55"/>
    </row>
    <row r="83" spans="1:10" s="56" customFormat="1" ht="18.75">
      <c r="E83" s="57"/>
    </row>
    <row r="84" spans="1:10" s="56" customFormat="1" ht="18.75">
      <c r="B84" s="56" t="s">
        <v>51</v>
      </c>
      <c r="E84" s="57"/>
      <c r="F84" s="56" t="s">
        <v>33</v>
      </c>
    </row>
    <row r="85" spans="1:10" s="56" customFormat="1" ht="18.75">
      <c r="E85" s="57"/>
    </row>
    <row r="86" spans="1:10" s="56" customFormat="1" ht="18.75">
      <c r="B86" s="56" t="s">
        <v>34</v>
      </c>
      <c r="E86" s="57"/>
      <c r="F86" s="56" t="s">
        <v>35</v>
      </c>
    </row>
    <row r="90" spans="1:10">
      <c r="H90" s="27"/>
    </row>
  </sheetData>
  <mergeCells count="41">
    <mergeCell ref="A10:A15"/>
    <mergeCell ref="B10:B15"/>
    <mergeCell ref="C10:C15"/>
    <mergeCell ref="A1:H1"/>
    <mergeCell ref="J3:L3"/>
    <mergeCell ref="A4:A9"/>
    <mergeCell ref="B4:B9"/>
    <mergeCell ref="C4:C9"/>
    <mergeCell ref="A16:A21"/>
    <mergeCell ref="B16:B21"/>
    <mergeCell ref="C16:C21"/>
    <mergeCell ref="A22:A27"/>
    <mergeCell ref="B22:B27"/>
    <mergeCell ref="C22:C27"/>
    <mergeCell ref="A28:A33"/>
    <mergeCell ref="B28:B33"/>
    <mergeCell ref="C28:C33"/>
    <mergeCell ref="A34:A39"/>
    <mergeCell ref="B34:B39"/>
    <mergeCell ref="C34:C39"/>
    <mergeCell ref="A40:A45"/>
    <mergeCell ref="B40:B45"/>
    <mergeCell ref="C40:C45"/>
    <mergeCell ref="A46:A51"/>
    <mergeCell ref="B46:B51"/>
    <mergeCell ref="C46:C51"/>
    <mergeCell ref="A52:A57"/>
    <mergeCell ref="B52:B57"/>
    <mergeCell ref="C52:C57"/>
    <mergeCell ref="A58:A63"/>
    <mergeCell ref="B58:B63"/>
    <mergeCell ref="C58:C63"/>
    <mergeCell ref="A76:A81"/>
    <mergeCell ref="B76:B81"/>
    <mergeCell ref="C76:C81"/>
    <mergeCell ref="A64:A69"/>
    <mergeCell ref="B64:B69"/>
    <mergeCell ref="C64:C69"/>
    <mergeCell ref="A70:A75"/>
    <mergeCell ref="B70:B75"/>
    <mergeCell ref="C70:C75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6"/>
  <sheetViews>
    <sheetView topLeftCell="A70" workbookViewId="0">
      <selection activeCell="J15" sqref="J15"/>
    </sheetView>
  </sheetViews>
  <sheetFormatPr defaultRowHeight="15.75"/>
  <cols>
    <col min="1" max="1" width="5.5703125" style="2" customWidth="1"/>
    <col min="2" max="2" width="10.28515625" style="2" customWidth="1"/>
    <col min="3" max="3" width="17.140625" style="2" customWidth="1"/>
    <col min="4" max="4" width="43.28515625" style="2" customWidth="1"/>
    <col min="5" max="5" width="15" style="3" customWidth="1"/>
    <col min="6" max="6" width="18.28515625" style="2" customWidth="1"/>
    <col min="7" max="7" width="15.28515625" style="2" customWidth="1"/>
    <col min="8" max="8" width="19.85546875" style="2" customWidth="1"/>
    <col min="9" max="9" width="9.140625" style="2"/>
    <col min="10" max="10" width="17.5703125" style="2" customWidth="1"/>
    <col min="11" max="256" width="9.140625" style="2"/>
    <col min="257" max="257" width="5.5703125" style="2" customWidth="1"/>
    <col min="258" max="258" width="10.28515625" style="2" customWidth="1"/>
    <col min="259" max="259" width="17.140625" style="2" customWidth="1"/>
    <col min="260" max="260" width="43.28515625" style="2" customWidth="1"/>
    <col min="261" max="261" width="15" style="2" customWidth="1"/>
    <col min="262" max="262" width="18.28515625" style="2" customWidth="1"/>
    <col min="263" max="263" width="15.28515625" style="2" customWidth="1"/>
    <col min="264" max="264" width="19.85546875" style="2" customWidth="1"/>
    <col min="265" max="265" width="9.140625" style="2"/>
    <col min="266" max="266" width="17.5703125" style="2" customWidth="1"/>
    <col min="267" max="512" width="9.140625" style="2"/>
    <col min="513" max="513" width="5.5703125" style="2" customWidth="1"/>
    <col min="514" max="514" width="10.28515625" style="2" customWidth="1"/>
    <col min="515" max="515" width="17.140625" style="2" customWidth="1"/>
    <col min="516" max="516" width="43.28515625" style="2" customWidth="1"/>
    <col min="517" max="517" width="15" style="2" customWidth="1"/>
    <col min="518" max="518" width="18.28515625" style="2" customWidth="1"/>
    <col min="519" max="519" width="15.28515625" style="2" customWidth="1"/>
    <col min="520" max="520" width="19.85546875" style="2" customWidth="1"/>
    <col min="521" max="521" width="9.140625" style="2"/>
    <col min="522" max="522" width="17.5703125" style="2" customWidth="1"/>
    <col min="523" max="768" width="9.140625" style="2"/>
    <col min="769" max="769" width="5.5703125" style="2" customWidth="1"/>
    <col min="770" max="770" width="10.28515625" style="2" customWidth="1"/>
    <col min="771" max="771" width="17.140625" style="2" customWidth="1"/>
    <col min="772" max="772" width="43.28515625" style="2" customWidth="1"/>
    <col min="773" max="773" width="15" style="2" customWidth="1"/>
    <col min="774" max="774" width="18.28515625" style="2" customWidth="1"/>
    <col min="775" max="775" width="15.28515625" style="2" customWidth="1"/>
    <col min="776" max="776" width="19.85546875" style="2" customWidth="1"/>
    <col min="777" max="777" width="9.140625" style="2"/>
    <col min="778" max="778" width="17.5703125" style="2" customWidth="1"/>
    <col min="779" max="1024" width="9.140625" style="2"/>
    <col min="1025" max="1025" width="5.5703125" style="2" customWidth="1"/>
    <col min="1026" max="1026" width="10.28515625" style="2" customWidth="1"/>
    <col min="1027" max="1027" width="17.140625" style="2" customWidth="1"/>
    <col min="1028" max="1028" width="43.28515625" style="2" customWidth="1"/>
    <col min="1029" max="1029" width="15" style="2" customWidth="1"/>
    <col min="1030" max="1030" width="18.28515625" style="2" customWidth="1"/>
    <col min="1031" max="1031" width="15.28515625" style="2" customWidth="1"/>
    <col min="1032" max="1032" width="19.85546875" style="2" customWidth="1"/>
    <col min="1033" max="1033" width="9.140625" style="2"/>
    <col min="1034" max="1034" width="17.5703125" style="2" customWidth="1"/>
    <col min="1035" max="1280" width="9.140625" style="2"/>
    <col min="1281" max="1281" width="5.5703125" style="2" customWidth="1"/>
    <col min="1282" max="1282" width="10.28515625" style="2" customWidth="1"/>
    <col min="1283" max="1283" width="17.140625" style="2" customWidth="1"/>
    <col min="1284" max="1284" width="43.28515625" style="2" customWidth="1"/>
    <col min="1285" max="1285" width="15" style="2" customWidth="1"/>
    <col min="1286" max="1286" width="18.28515625" style="2" customWidth="1"/>
    <col min="1287" max="1287" width="15.28515625" style="2" customWidth="1"/>
    <col min="1288" max="1288" width="19.85546875" style="2" customWidth="1"/>
    <col min="1289" max="1289" width="9.140625" style="2"/>
    <col min="1290" max="1290" width="17.5703125" style="2" customWidth="1"/>
    <col min="1291" max="1536" width="9.140625" style="2"/>
    <col min="1537" max="1537" width="5.5703125" style="2" customWidth="1"/>
    <col min="1538" max="1538" width="10.28515625" style="2" customWidth="1"/>
    <col min="1539" max="1539" width="17.140625" style="2" customWidth="1"/>
    <col min="1540" max="1540" width="43.28515625" style="2" customWidth="1"/>
    <col min="1541" max="1541" width="15" style="2" customWidth="1"/>
    <col min="1542" max="1542" width="18.28515625" style="2" customWidth="1"/>
    <col min="1543" max="1543" width="15.28515625" style="2" customWidth="1"/>
    <col min="1544" max="1544" width="19.85546875" style="2" customWidth="1"/>
    <col min="1545" max="1545" width="9.140625" style="2"/>
    <col min="1546" max="1546" width="17.5703125" style="2" customWidth="1"/>
    <col min="1547" max="1792" width="9.140625" style="2"/>
    <col min="1793" max="1793" width="5.5703125" style="2" customWidth="1"/>
    <col min="1794" max="1794" width="10.28515625" style="2" customWidth="1"/>
    <col min="1795" max="1795" width="17.140625" style="2" customWidth="1"/>
    <col min="1796" max="1796" width="43.28515625" style="2" customWidth="1"/>
    <col min="1797" max="1797" width="15" style="2" customWidth="1"/>
    <col min="1798" max="1798" width="18.28515625" style="2" customWidth="1"/>
    <col min="1799" max="1799" width="15.28515625" style="2" customWidth="1"/>
    <col min="1800" max="1800" width="19.85546875" style="2" customWidth="1"/>
    <col min="1801" max="1801" width="9.140625" style="2"/>
    <col min="1802" max="1802" width="17.5703125" style="2" customWidth="1"/>
    <col min="1803" max="2048" width="9.140625" style="2"/>
    <col min="2049" max="2049" width="5.5703125" style="2" customWidth="1"/>
    <col min="2050" max="2050" width="10.28515625" style="2" customWidth="1"/>
    <col min="2051" max="2051" width="17.140625" style="2" customWidth="1"/>
    <col min="2052" max="2052" width="43.28515625" style="2" customWidth="1"/>
    <col min="2053" max="2053" width="15" style="2" customWidth="1"/>
    <col min="2054" max="2054" width="18.28515625" style="2" customWidth="1"/>
    <col min="2055" max="2055" width="15.28515625" style="2" customWidth="1"/>
    <col min="2056" max="2056" width="19.85546875" style="2" customWidth="1"/>
    <col min="2057" max="2057" width="9.140625" style="2"/>
    <col min="2058" max="2058" width="17.5703125" style="2" customWidth="1"/>
    <col min="2059" max="2304" width="9.140625" style="2"/>
    <col min="2305" max="2305" width="5.5703125" style="2" customWidth="1"/>
    <col min="2306" max="2306" width="10.28515625" style="2" customWidth="1"/>
    <col min="2307" max="2307" width="17.140625" style="2" customWidth="1"/>
    <col min="2308" max="2308" width="43.28515625" style="2" customWidth="1"/>
    <col min="2309" max="2309" width="15" style="2" customWidth="1"/>
    <col min="2310" max="2310" width="18.28515625" style="2" customWidth="1"/>
    <col min="2311" max="2311" width="15.28515625" style="2" customWidth="1"/>
    <col min="2312" max="2312" width="19.85546875" style="2" customWidth="1"/>
    <col min="2313" max="2313" width="9.140625" style="2"/>
    <col min="2314" max="2314" width="17.5703125" style="2" customWidth="1"/>
    <col min="2315" max="2560" width="9.140625" style="2"/>
    <col min="2561" max="2561" width="5.5703125" style="2" customWidth="1"/>
    <col min="2562" max="2562" width="10.28515625" style="2" customWidth="1"/>
    <col min="2563" max="2563" width="17.140625" style="2" customWidth="1"/>
    <col min="2564" max="2564" width="43.28515625" style="2" customWidth="1"/>
    <col min="2565" max="2565" width="15" style="2" customWidth="1"/>
    <col min="2566" max="2566" width="18.28515625" style="2" customWidth="1"/>
    <col min="2567" max="2567" width="15.28515625" style="2" customWidth="1"/>
    <col min="2568" max="2568" width="19.85546875" style="2" customWidth="1"/>
    <col min="2569" max="2569" width="9.140625" style="2"/>
    <col min="2570" max="2570" width="17.5703125" style="2" customWidth="1"/>
    <col min="2571" max="2816" width="9.140625" style="2"/>
    <col min="2817" max="2817" width="5.5703125" style="2" customWidth="1"/>
    <col min="2818" max="2818" width="10.28515625" style="2" customWidth="1"/>
    <col min="2819" max="2819" width="17.140625" style="2" customWidth="1"/>
    <col min="2820" max="2820" width="43.28515625" style="2" customWidth="1"/>
    <col min="2821" max="2821" width="15" style="2" customWidth="1"/>
    <col min="2822" max="2822" width="18.28515625" style="2" customWidth="1"/>
    <col min="2823" max="2823" width="15.28515625" style="2" customWidth="1"/>
    <col min="2824" max="2824" width="19.85546875" style="2" customWidth="1"/>
    <col min="2825" max="2825" width="9.140625" style="2"/>
    <col min="2826" max="2826" width="17.5703125" style="2" customWidth="1"/>
    <col min="2827" max="3072" width="9.140625" style="2"/>
    <col min="3073" max="3073" width="5.5703125" style="2" customWidth="1"/>
    <col min="3074" max="3074" width="10.28515625" style="2" customWidth="1"/>
    <col min="3075" max="3075" width="17.140625" style="2" customWidth="1"/>
    <col min="3076" max="3076" width="43.28515625" style="2" customWidth="1"/>
    <col min="3077" max="3077" width="15" style="2" customWidth="1"/>
    <col min="3078" max="3078" width="18.28515625" style="2" customWidth="1"/>
    <col min="3079" max="3079" width="15.28515625" style="2" customWidth="1"/>
    <col min="3080" max="3080" width="19.85546875" style="2" customWidth="1"/>
    <col min="3081" max="3081" width="9.140625" style="2"/>
    <col min="3082" max="3082" width="17.5703125" style="2" customWidth="1"/>
    <col min="3083" max="3328" width="9.140625" style="2"/>
    <col min="3329" max="3329" width="5.5703125" style="2" customWidth="1"/>
    <col min="3330" max="3330" width="10.28515625" style="2" customWidth="1"/>
    <col min="3331" max="3331" width="17.140625" style="2" customWidth="1"/>
    <col min="3332" max="3332" width="43.28515625" style="2" customWidth="1"/>
    <col min="3333" max="3333" width="15" style="2" customWidth="1"/>
    <col min="3334" max="3334" width="18.28515625" style="2" customWidth="1"/>
    <col min="3335" max="3335" width="15.28515625" style="2" customWidth="1"/>
    <col min="3336" max="3336" width="19.85546875" style="2" customWidth="1"/>
    <col min="3337" max="3337" width="9.140625" style="2"/>
    <col min="3338" max="3338" width="17.5703125" style="2" customWidth="1"/>
    <col min="3339" max="3584" width="9.140625" style="2"/>
    <col min="3585" max="3585" width="5.5703125" style="2" customWidth="1"/>
    <col min="3586" max="3586" width="10.28515625" style="2" customWidth="1"/>
    <col min="3587" max="3587" width="17.140625" style="2" customWidth="1"/>
    <col min="3588" max="3588" width="43.28515625" style="2" customWidth="1"/>
    <col min="3589" max="3589" width="15" style="2" customWidth="1"/>
    <col min="3590" max="3590" width="18.28515625" style="2" customWidth="1"/>
    <col min="3591" max="3591" width="15.28515625" style="2" customWidth="1"/>
    <col min="3592" max="3592" width="19.85546875" style="2" customWidth="1"/>
    <col min="3593" max="3593" width="9.140625" style="2"/>
    <col min="3594" max="3594" width="17.5703125" style="2" customWidth="1"/>
    <col min="3595" max="3840" width="9.140625" style="2"/>
    <col min="3841" max="3841" width="5.5703125" style="2" customWidth="1"/>
    <col min="3842" max="3842" width="10.28515625" style="2" customWidth="1"/>
    <col min="3843" max="3843" width="17.140625" style="2" customWidth="1"/>
    <col min="3844" max="3844" width="43.28515625" style="2" customWidth="1"/>
    <col min="3845" max="3845" width="15" style="2" customWidth="1"/>
    <col min="3846" max="3846" width="18.28515625" style="2" customWidth="1"/>
    <col min="3847" max="3847" width="15.28515625" style="2" customWidth="1"/>
    <col min="3848" max="3848" width="19.85546875" style="2" customWidth="1"/>
    <col min="3849" max="3849" width="9.140625" style="2"/>
    <col min="3850" max="3850" width="17.5703125" style="2" customWidth="1"/>
    <col min="3851" max="4096" width="9.140625" style="2"/>
    <col min="4097" max="4097" width="5.5703125" style="2" customWidth="1"/>
    <col min="4098" max="4098" width="10.28515625" style="2" customWidth="1"/>
    <col min="4099" max="4099" width="17.140625" style="2" customWidth="1"/>
    <col min="4100" max="4100" width="43.28515625" style="2" customWidth="1"/>
    <col min="4101" max="4101" width="15" style="2" customWidth="1"/>
    <col min="4102" max="4102" width="18.28515625" style="2" customWidth="1"/>
    <col min="4103" max="4103" width="15.28515625" style="2" customWidth="1"/>
    <col min="4104" max="4104" width="19.85546875" style="2" customWidth="1"/>
    <col min="4105" max="4105" width="9.140625" style="2"/>
    <col min="4106" max="4106" width="17.5703125" style="2" customWidth="1"/>
    <col min="4107" max="4352" width="9.140625" style="2"/>
    <col min="4353" max="4353" width="5.5703125" style="2" customWidth="1"/>
    <col min="4354" max="4354" width="10.28515625" style="2" customWidth="1"/>
    <col min="4355" max="4355" width="17.140625" style="2" customWidth="1"/>
    <col min="4356" max="4356" width="43.28515625" style="2" customWidth="1"/>
    <col min="4357" max="4357" width="15" style="2" customWidth="1"/>
    <col min="4358" max="4358" width="18.28515625" style="2" customWidth="1"/>
    <col min="4359" max="4359" width="15.28515625" style="2" customWidth="1"/>
    <col min="4360" max="4360" width="19.85546875" style="2" customWidth="1"/>
    <col min="4361" max="4361" width="9.140625" style="2"/>
    <col min="4362" max="4362" width="17.5703125" style="2" customWidth="1"/>
    <col min="4363" max="4608" width="9.140625" style="2"/>
    <col min="4609" max="4609" width="5.5703125" style="2" customWidth="1"/>
    <col min="4610" max="4610" width="10.28515625" style="2" customWidth="1"/>
    <col min="4611" max="4611" width="17.140625" style="2" customWidth="1"/>
    <col min="4612" max="4612" width="43.28515625" style="2" customWidth="1"/>
    <col min="4613" max="4613" width="15" style="2" customWidth="1"/>
    <col min="4614" max="4614" width="18.28515625" style="2" customWidth="1"/>
    <col min="4615" max="4615" width="15.28515625" style="2" customWidth="1"/>
    <col min="4616" max="4616" width="19.85546875" style="2" customWidth="1"/>
    <col min="4617" max="4617" width="9.140625" style="2"/>
    <col min="4618" max="4618" width="17.5703125" style="2" customWidth="1"/>
    <col min="4619" max="4864" width="9.140625" style="2"/>
    <col min="4865" max="4865" width="5.5703125" style="2" customWidth="1"/>
    <col min="4866" max="4866" width="10.28515625" style="2" customWidth="1"/>
    <col min="4867" max="4867" width="17.140625" style="2" customWidth="1"/>
    <col min="4868" max="4868" width="43.28515625" style="2" customWidth="1"/>
    <col min="4869" max="4869" width="15" style="2" customWidth="1"/>
    <col min="4870" max="4870" width="18.28515625" style="2" customWidth="1"/>
    <col min="4871" max="4871" width="15.28515625" style="2" customWidth="1"/>
    <col min="4872" max="4872" width="19.85546875" style="2" customWidth="1"/>
    <col min="4873" max="4873" width="9.140625" style="2"/>
    <col min="4874" max="4874" width="17.5703125" style="2" customWidth="1"/>
    <col min="4875" max="5120" width="9.140625" style="2"/>
    <col min="5121" max="5121" width="5.5703125" style="2" customWidth="1"/>
    <col min="5122" max="5122" width="10.28515625" style="2" customWidth="1"/>
    <col min="5123" max="5123" width="17.140625" style="2" customWidth="1"/>
    <col min="5124" max="5124" width="43.28515625" style="2" customWidth="1"/>
    <col min="5125" max="5125" width="15" style="2" customWidth="1"/>
    <col min="5126" max="5126" width="18.28515625" style="2" customWidth="1"/>
    <col min="5127" max="5127" width="15.28515625" style="2" customWidth="1"/>
    <col min="5128" max="5128" width="19.85546875" style="2" customWidth="1"/>
    <col min="5129" max="5129" width="9.140625" style="2"/>
    <col min="5130" max="5130" width="17.5703125" style="2" customWidth="1"/>
    <col min="5131" max="5376" width="9.140625" style="2"/>
    <col min="5377" max="5377" width="5.5703125" style="2" customWidth="1"/>
    <col min="5378" max="5378" width="10.28515625" style="2" customWidth="1"/>
    <col min="5379" max="5379" width="17.140625" style="2" customWidth="1"/>
    <col min="5380" max="5380" width="43.28515625" style="2" customWidth="1"/>
    <col min="5381" max="5381" width="15" style="2" customWidth="1"/>
    <col min="5382" max="5382" width="18.28515625" style="2" customWidth="1"/>
    <col min="5383" max="5383" width="15.28515625" style="2" customWidth="1"/>
    <col min="5384" max="5384" width="19.85546875" style="2" customWidth="1"/>
    <col min="5385" max="5385" width="9.140625" style="2"/>
    <col min="5386" max="5386" width="17.5703125" style="2" customWidth="1"/>
    <col min="5387" max="5632" width="9.140625" style="2"/>
    <col min="5633" max="5633" width="5.5703125" style="2" customWidth="1"/>
    <col min="5634" max="5634" width="10.28515625" style="2" customWidth="1"/>
    <col min="5635" max="5635" width="17.140625" style="2" customWidth="1"/>
    <col min="5636" max="5636" width="43.28515625" style="2" customWidth="1"/>
    <col min="5637" max="5637" width="15" style="2" customWidth="1"/>
    <col min="5638" max="5638" width="18.28515625" style="2" customWidth="1"/>
    <col min="5639" max="5639" width="15.28515625" style="2" customWidth="1"/>
    <col min="5640" max="5640" width="19.85546875" style="2" customWidth="1"/>
    <col min="5641" max="5641" width="9.140625" style="2"/>
    <col min="5642" max="5642" width="17.5703125" style="2" customWidth="1"/>
    <col min="5643" max="5888" width="9.140625" style="2"/>
    <col min="5889" max="5889" width="5.5703125" style="2" customWidth="1"/>
    <col min="5890" max="5890" width="10.28515625" style="2" customWidth="1"/>
    <col min="5891" max="5891" width="17.140625" style="2" customWidth="1"/>
    <col min="5892" max="5892" width="43.28515625" style="2" customWidth="1"/>
    <col min="5893" max="5893" width="15" style="2" customWidth="1"/>
    <col min="5894" max="5894" width="18.28515625" style="2" customWidth="1"/>
    <col min="5895" max="5895" width="15.28515625" style="2" customWidth="1"/>
    <col min="5896" max="5896" width="19.85546875" style="2" customWidth="1"/>
    <col min="5897" max="5897" width="9.140625" style="2"/>
    <col min="5898" max="5898" width="17.5703125" style="2" customWidth="1"/>
    <col min="5899" max="6144" width="9.140625" style="2"/>
    <col min="6145" max="6145" width="5.5703125" style="2" customWidth="1"/>
    <col min="6146" max="6146" width="10.28515625" style="2" customWidth="1"/>
    <col min="6147" max="6147" width="17.140625" style="2" customWidth="1"/>
    <col min="6148" max="6148" width="43.28515625" style="2" customWidth="1"/>
    <col min="6149" max="6149" width="15" style="2" customWidth="1"/>
    <col min="6150" max="6150" width="18.28515625" style="2" customWidth="1"/>
    <col min="6151" max="6151" width="15.28515625" style="2" customWidth="1"/>
    <col min="6152" max="6152" width="19.85546875" style="2" customWidth="1"/>
    <col min="6153" max="6153" width="9.140625" style="2"/>
    <col min="6154" max="6154" width="17.5703125" style="2" customWidth="1"/>
    <col min="6155" max="6400" width="9.140625" style="2"/>
    <col min="6401" max="6401" width="5.5703125" style="2" customWidth="1"/>
    <col min="6402" max="6402" width="10.28515625" style="2" customWidth="1"/>
    <col min="6403" max="6403" width="17.140625" style="2" customWidth="1"/>
    <col min="6404" max="6404" width="43.28515625" style="2" customWidth="1"/>
    <col min="6405" max="6405" width="15" style="2" customWidth="1"/>
    <col min="6406" max="6406" width="18.28515625" style="2" customWidth="1"/>
    <col min="6407" max="6407" width="15.28515625" style="2" customWidth="1"/>
    <col min="6408" max="6408" width="19.85546875" style="2" customWidth="1"/>
    <col min="6409" max="6409" width="9.140625" style="2"/>
    <col min="6410" max="6410" width="17.5703125" style="2" customWidth="1"/>
    <col min="6411" max="6656" width="9.140625" style="2"/>
    <col min="6657" max="6657" width="5.5703125" style="2" customWidth="1"/>
    <col min="6658" max="6658" width="10.28515625" style="2" customWidth="1"/>
    <col min="6659" max="6659" width="17.140625" style="2" customWidth="1"/>
    <col min="6660" max="6660" width="43.28515625" style="2" customWidth="1"/>
    <col min="6661" max="6661" width="15" style="2" customWidth="1"/>
    <col min="6662" max="6662" width="18.28515625" style="2" customWidth="1"/>
    <col min="6663" max="6663" width="15.28515625" style="2" customWidth="1"/>
    <col min="6664" max="6664" width="19.85546875" style="2" customWidth="1"/>
    <col min="6665" max="6665" width="9.140625" style="2"/>
    <col min="6666" max="6666" width="17.5703125" style="2" customWidth="1"/>
    <col min="6667" max="6912" width="9.140625" style="2"/>
    <col min="6913" max="6913" width="5.5703125" style="2" customWidth="1"/>
    <col min="6914" max="6914" width="10.28515625" style="2" customWidth="1"/>
    <col min="6915" max="6915" width="17.140625" style="2" customWidth="1"/>
    <col min="6916" max="6916" width="43.28515625" style="2" customWidth="1"/>
    <col min="6917" max="6917" width="15" style="2" customWidth="1"/>
    <col min="6918" max="6918" width="18.28515625" style="2" customWidth="1"/>
    <col min="6919" max="6919" width="15.28515625" style="2" customWidth="1"/>
    <col min="6920" max="6920" width="19.85546875" style="2" customWidth="1"/>
    <col min="6921" max="6921" width="9.140625" style="2"/>
    <col min="6922" max="6922" width="17.5703125" style="2" customWidth="1"/>
    <col min="6923" max="7168" width="9.140625" style="2"/>
    <col min="7169" max="7169" width="5.5703125" style="2" customWidth="1"/>
    <col min="7170" max="7170" width="10.28515625" style="2" customWidth="1"/>
    <col min="7171" max="7171" width="17.140625" style="2" customWidth="1"/>
    <col min="7172" max="7172" width="43.28515625" style="2" customWidth="1"/>
    <col min="7173" max="7173" width="15" style="2" customWidth="1"/>
    <col min="7174" max="7174" width="18.28515625" style="2" customWidth="1"/>
    <col min="7175" max="7175" width="15.28515625" style="2" customWidth="1"/>
    <col min="7176" max="7176" width="19.85546875" style="2" customWidth="1"/>
    <col min="7177" max="7177" width="9.140625" style="2"/>
    <col min="7178" max="7178" width="17.5703125" style="2" customWidth="1"/>
    <col min="7179" max="7424" width="9.140625" style="2"/>
    <col min="7425" max="7425" width="5.5703125" style="2" customWidth="1"/>
    <col min="7426" max="7426" width="10.28515625" style="2" customWidth="1"/>
    <col min="7427" max="7427" width="17.140625" style="2" customWidth="1"/>
    <col min="7428" max="7428" width="43.28515625" style="2" customWidth="1"/>
    <col min="7429" max="7429" width="15" style="2" customWidth="1"/>
    <col min="7430" max="7430" width="18.28515625" style="2" customWidth="1"/>
    <col min="7431" max="7431" width="15.28515625" style="2" customWidth="1"/>
    <col min="7432" max="7432" width="19.85546875" style="2" customWidth="1"/>
    <col min="7433" max="7433" width="9.140625" style="2"/>
    <col min="7434" max="7434" width="17.5703125" style="2" customWidth="1"/>
    <col min="7435" max="7680" width="9.140625" style="2"/>
    <col min="7681" max="7681" width="5.5703125" style="2" customWidth="1"/>
    <col min="7682" max="7682" width="10.28515625" style="2" customWidth="1"/>
    <col min="7683" max="7683" width="17.140625" style="2" customWidth="1"/>
    <col min="7684" max="7684" width="43.28515625" style="2" customWidth="1"/>
    <col min="7685" max="7685" width="15" style="2" customWidth="1"/>
    <col min="7686" max="7686" width="18.28515625" style="2" customWidth="1"/>
    <col min="7687" max="7687" width="15.28515625" style="2" customWidth="1"/>
    <col min="7688" max="7688" width="19.85546875" style="2" customWidth="1"/>
    <col min="7689" max="7689" width="9.140625" style="2"/>
    <col min="7690" max="7690" width="17.5703125" style="2" customWidth="1"/>
    <col min="7691" max="7936" width="9.140625" style="2"/>
    <col min="7937" max="7937" width="5.5703125" style="2" customWidth="1"/>
    <col min="7938" max="7938" width="10.28515625" style="2" customWidth="1"/>
    <col min="7939" max="7939" width="17.140625" style="2" customWidth="1"/>
    <col min="7940" max="7940" width="43.28515625" style="2" customWidth="1"/>
    <col min="7941" max="7941" width="15" style="2" customWidth="1"/>
    <col min="7942" max="7942" width="18.28515625" style="2" customWidth="1"/>
    <col min="7943" max="7943" width="15.28515625" style="2" customWidth="1"/>
    <col min="7944" max="7944" width="19.85546875" style="2" customWidth="1"/>
    <col min="7945" max="7945" width="9.140625" style="2"/>
    <col min="7946" max="7946" width="17.5703125" style="2" customWidth="1"/>
    <col min="7947" max="8192" width="9.140625" style="2"/>
    <col min="8193" max="8193" width="5.5703125" style="2" customWidth="1"/>
    <col min="8194" max="8194" width="10.28515625" style="2" customWidth="1"/>
    <col min="8195" max="8195" width="17.140625" style="2" customWidth="1"/>
    <col min="8196" max="8196" width="43.28515625" style="2" customWidth="1"/>
    <col min="8197" max="8197" width="15" style="2" customWidth="1"/>
    <col min="8198" max="8198" width="18.28515625" style="2" customWidth="1"/>
    <col min="8199" max="8199" width="15.28515625" style="2" customWidth="1"/>
    <col min="8200" max="8200" width="19.85546875" style="2" customWidth="1"/>
    <col min="8201" max="8201" width="9.140625" style="2"/>
    <col min="8202" max="8202" width="17.5703125" style="2" customWidth="1"/>
    <col min="8203" max="8448" width="9.140625" style="2"/>
    <col min="8449" max="8449" width="5.5703125" style="2" customWidth="1"/>
    <col min="8450" max="8450" width="10.28515625" style="2" customWidth="1"/>
    <col min="8451" max="8451" width="17.140625" style="2" customWidth="1"/>
    <col min="8452" max="8452" width="43.28515625" style="2" customWidth="1"/>
    <col min="8453" max="8453" width="15" style="2" customWidth="1"/>
    <col min="8454" max="8454" width="18.28515625" style="2" customWidth="1"/>
    <col min="8455" max="8455" width="15.28515625" style="2" customWidth="1"/>
    <col min="8456" max="8456" width="19.85546875" style="2" customWidth="1"/>
    <col min="8457" max="8457" width="9.140625" style="2"/>
    <col min="8458" max="8458" width="17.5703125" style="2" customWidth="1"/>
    <col min="8459" max="8704" width="9.140625" style="2"/>
    <col min="8705" max="8705" width="5.5703125" style="2" customWidth="1"/>
    <col min="8706" max="8706" width="10.28515625" style="2" customWidth="1"/>
    <col min="8707" max="8707" width="17.140625" style="2" customWidth="1"/>
    <col min="8708" max="8708" width="43.28515625" style="2" customWidth="1"/>
    <col min="8709" max="8709" width="15" style="2" customWidth="1"/>
    <col min="8710" max="8710" width="18.28515625" style="2" customWidth="1"/>
    <col min="8711" max="8711" width="15.28515625" style="2" customWidth="1"/>
    <col min="8712" max="8712" width="19.85546875" style="2" customWidth="1"/>
    <col min="8713" max="8713" width="9.140625" style="2"/>
    <col min="8714" max="8714" width="17.5703125" style="2" customWidth="1"/>
    <col min="8715" max="8960" width="9.140625" style="2"/>
    <col min="8961" max="8961" width="5.5703125" style="2" customWidth="1"/>
    <col min="8962" max="8962" width="10.28515625" style="2" customWidth="1"/>
    <col min="8963" max="8963" width="17.140625" style="2" customWidth="1"/>
    <col min="8964" max="8964" width="43.28515625" style="2" customWidth="1"/>
    <col min="8965" max="8965" width="15" style="2" customWidth="1"/>
    <col min="8966" max="8966" width="18.28515625" style="2" customWidth="1"/>
    <col min="8967" max="8967" width="15.28515625" style="2" customWidth="1"/>
    <col min="8968" max="8968" width="19.85546875" style="2" customWidth="1"/>
    <col min="8969" max="8969" width="9.140625" style="2"/>
    <col min="8970" max="8970" width="17.5703125" style="2" customWidth="1"/>
    <col min="8971" max="9216" width="9.140625" style="2"/>
    <col min="9217" max="9217" width="5.5703125" style="2" customWidth="1"/>
    <col min="9218" max="9218" width="10.28515625" style="2" customWidth="1"/>
    <col min="9219" max="9219" width="17.140625" style="2" customWidth="1"/>
    <col min="9220" max="9220" width="43.28515625" style="2" customWidth="1"/>
    <col min="9221" max="9221" width="15" style="2" customWidth="1"/>
    <col min="9222" max="9222" width="18.28515625" style="2" customWidth="1"/>
    <col min="9223" max="9223" width="15.28515625" style="2" customWidth="1"/>
    <col min="9224" max="9224" width="19.85546875" style="2" customWidth="1"/>
    <col min="9225" max="9225" width="9.140625" style="2"/>
    <col min="9226" max="9226" width="17.5703125" style="2" customWidth="1"/>
    <col min="9227" max="9472" width="9.140625" style="2"/>
    <col min="9473" max="9473" width="5.5703125" style="2" customWidth="1"/>
    <col min="9474" max="9474" width="10.28515625" style="2" customWidth="1"/>
    <col min="9475" max="9475" width="17.140625" style="2" customWidth="1"/>
    <col min="9476" max="9476" width="43.28515625" style="2" customWidth="1"/>
    <col min="9477" max="9477" width="15" style="2" customWidth="1"/>
    <col min="9478" max="9478" width="18.28515625" style="2" customWidth="1"/>
    <col min="9479" max="9479" width="15.28515625" style="2" customWidth="1"/>
    <col min="9480" max="9480" width="19.85546875" style="2" customWidth="1"/>
    <col min="9481" max="9481" width="9.140625" style="2"/>
    <col min="9482" max="9482" width="17.5703125" style="2" customWidth="1"/>
    <col min="9483" max="9728" width="9.140625" style="2"/>
    <col min="9729" max="9729" width="5.5703125" style="2" customWidth="1"/>
    <col min="9730" max="9730" width="10.28515625" style="2" customWidth="1"/>
    <col min="9731" max="9731" width="17.140625" style="2" customWidth="1"/>
    <col min="9732" max="9732" width="43.28515625" style="2" customWidth="1"/>
    <col min="9733" max="9733" width="15" style="2" customWidth="1"/>
    <col min="9734" max="9734" width="18.28515625" style="2" customWidth="1"/>
    <col min="9735" max="9735" width="15.28515625" style="2" customWidth="1"/>
    <col min="9736" max="9736" width="19.85546875" style="2" customWidth="1"/>
    <col min="9737" max="9737" width="9.140625" style="2"/>
    <col min="9738" max="9738" width="17.5703125" style="2" customWidth="1"/>
    <col min="9739" max="9984" width="9.140625" style="2"/>
    <col min="9985" max="9985" width="5.5703125" style="2" customWidth="1"/>
    <col min="9986" max="9986" width="10.28515625" style="2" customWidth="1"/>
    <col min="9987" max="9987" width="17.140625" style="2" customWidth="1"/>
    <col min="9988" max="9988" width="43.28515625" style="2" customWidth="1"/>
    <col min="9989" max="9989" width="15" style="2" customWidth="1"/>
    <col min="9990" max="9990" width="18.28515625" style="2" customWidth="1"/>
    <col min="9991" max="9991" width="15.28515625" style="2" customWidth="1"/>
    <col min="9992" max="9992" width="19.85546875" style="2" customWidth="1"/>
    <col min="9993" max="9993" width="9.140625" style="2"/>
    <col min="9994" max="9994" width="17.5703125" style="2" customWidth="1"/>
    <col min="9995" max="10240" width="9.140625" style="2"/>
    <col min="10241" max="10241" width="5.5703125" style="2" customWidth="1"/>
    <col min="10242" max="10242" width="10.28515625" style="2" customWidth="1"/>
    <col min="10243" max="10243" width="17.140625" style="2" customWidth="1"/>
    <col min="10244" max="10244" width="43.28515625" style="2" customWidth="1"/>
    <col min="10245" max="10245" width="15" style="2" customWidth="1"/>
    <col min="10246" max="10246" width="18.28515625" style="2" customWidth="1"/>
    <col min="10247" max="10247" width="15.28515625" style="2" customWidth="1"/>
    <col min="10248" max="10248" width="19.85546875" style="2" customWidth="1"/>
    <col min="10249" max="10249" width="9.140625" style="2"/>
    <col min="10250" max="10250" width="17.5703125" style="2" customWidth="1"/>
    <col min="10251" max="10496" width="9.140625" style="2"/>
    <col min="10497" max="10497" width="5.5703125" style="2" customWidth="1"/>
    <col min="10498" max="10498" width="10.28515625" style="2" customWidth="1"/>
    <col min="10499" max="10499" width="17.140625" style="2" customWidth="1"/>
    <col min="10500" max="10500" width="43.28515625" style="2" customWidth="1"/>
    <col min="10501" max="10501" width="15" style="2" customWidth="1"/>
    <col min="10502" max="10502" width="18.28515625" style="2" customWidth="1"/>
    <col min="10503" max="10503" width="15.28515625" style="2" customWidth="1"/>
    <col min="10504" max="10504" width="19.85546875" style="2" customWidth="1"/>
    <col min="10505" max="10505" width="9.140625" style="2"/>
    <col min="10506" max="10506" width="17.5703125" style="2" customWidth="1"/>
    <col min="10507" max="10752" width="9.140625" style="2"/>
    <col min="10753" max="10753" width="5.5703125" style="2" customWidth="1"/>
    <col min="10754" max="10754" width="10.28515625" style="2" customWidth="1"/>
    <col min="10755" max="10755" width="17.140625" style="2" customWidth="1"/>
    <col min="10756" max="10756" width="43.28515625" style="2" customWidth="1"/>
    <col min="10757" max="10757" width="15" style="2" customWidth="1"/>
    <col min="10758" max="10758" width="18.28515625" style="2" customWidth="1"/>
    <col min="10759" max="10759" width="15.28515625" style="2" customWidth="1"/>
    <col min="10760" max="10760" width="19.85546875" style="2" customWidth="1"/>
    <col min="10761" max="10761" width="9.140625" style="2"/>
    <col min="10762" max="10762" width="17.5703125" style="2" customWidth="1"/>
    <col min="10763" max="11008" width="9.140625" style="2"/>
    <col min="11009" max="11009" width="5.5703125" style="2" customWidth="1"/>
    <col min="11010" max="11010" width="10.28515625" style="2" customWidth="1"/>
    <col min="11011" max="11011" width="17.140625" style="2" customWidth="1"/>
    <col min="11012" max="11012" width="43.28515625" style="2" customWidth="1"/>
    <col min="11013" max="11013" width="15" style="2" customWidth="1"/>
    <col min="11014" max="11014" width="18.28515625" style="2" customWidth="1"/>
    <col min="11015" max="11015" width="15.28515625" style="2" customWidth="1"/>
    <col min="11016" max="11016" width="19.85546875" style="2" customWidth="1"/>
    <col min="11017" max="11017" width="9.140625" style="2"/>
    <col min="11018" max="11018" width="17.5703125" style="2" customWidth="1"/>
    <col min="11019" max="11264" width="9.140625" style="2"/>
    <col min="11265" max="11265" width="5.5703125" style="2" customWidth="1"/>
    <col min="11266" max="11266" width="10.28515625" style="2" customWidth="1"/>
    <col min="11267" max="11267" width="17.140625" style="2" customWidth="1"/>
    <col min="11268" max="11268" width="43.28515625" style="2" customWidth="1"/>
    <col min="11269" max="11269" width="15" style="2" customWidth="1"/>
    <col min="11270" max="11270" width="18.28515625" style="2" customWidth="1"/>
    <col min="11271" max="11271" width="15.28515625" style="2" customWidth="1"/>
    <col min="11272" max="11272" width="19.85546875" style="2" customWidth="1"/>
    <col min="11273" max="11273" width="9.140625" style="2"/>
    <col min="11274" max="11274" width="17.5703125" style="2" customWidth="1"/>
    <col min="11275" max="11520" width="9.140625" style="2"/>
    <col min="11521" max="11521" width="5.5703125" style="2" customWidth="1"/>
    <col min="11522" max="11522" width="10.28515625" style="2" customWidth="1"/>
    <col min="11523" max="11523" width="17.140625" style="2" customWidth="1"/>
    <col min="11524" max="11524" width="43.28515625" style="2" customWidth="1"/>
    <col min="11525" max="11525" width="15" style="2" customWidth="1"/>
    <col min="11526" max="11526" width="18.28515625" style="2" customWidth="1"/>
    <col min="11527" max="11527" width="15.28515625" style="2" customWidth="1"/>
    <col min="11528" max="11528" width="19.85546875" style="2" customWidth="1"/>
    <col min="11529" max="11529" width="9.140625" style="2"/>
    <col min="11530" max="11530" width="17.5703125" style="2" customWidth="1"/>
    <col min="11531" max="11776" width="9.140625" style="2"/>
    <col min="11777" max="11777" width="5.5703125" style="2" customWidth="1"/>
    <col min="11778" max="11778" width="10.28515625" style="2" customWidth="1"/>
    <col min="11779" max="11779" width="17.140625" style="2" customWidth="1"/>
    <col min="11780" max="11780" width="43.28515625" style="2" customWidth="1"/>
    <col min="11781" max="11781" width="15" style="2" customWidth="1"/>
    <col min="11782" max="11782" width="18.28515625" style="2" customWidth="1"/>
    <col min="11783" max="11783" width="15.28515625" style="2" customWidth="1"/>
    <col min="11784" max="11784" width="19.85546875" style="2" customWidth="1"/>
    <col min="11785" max="11785" width="9.140625" style="2"/>
    <col min="11786" max="11786" width="17.5703125" style="2" customWidth="1"/>
    <col min="11787" max="12032" width="9.140625" style="2"/>
    <col min="12033" max="12033" width="5.5703125" style="2" customWidth="1"/>
    <col min="12034" max="12034" width="10.28515625" style="2" customWidth="1"/>
    <col min="12035" max="12035" width="17.140625" style="2" customWidth="1"/>
    <col min="12036" max="12036" width="43.28515625" style="2" customWidth="1"/>
    <col min="12037" max="12037" width="15" style="2" customWidth="1"/>
    <col min="12038" max="12038" width="18.28515625" style="2" customWidth="1"/>
    <col min="12039" max="12039" width="15.28515625" style="2" customWidth="1"/>
    <col min="12040" max="12040" width="19.85546875" style="2" customWidth="1"/>
    <col min="12041" max="12041" width="9.140625" style="2"/>
    <col min="12042" max="12042" width="17.5703125" style="2" customWidth="1"/>
    <col min="12043" max="12288" width="9.140625" style="2"/>
    <col min="12289" max="12289" width="5.5703125" style="2" customWidth="1"/>
    <col min="12290" max="12290" width="10.28515625" style="2" customWidth="1"/>
    <col min="12291" max="12291" width="17.140625" style="2" customWidth="1"/>
    <col min="12292" max="12292" width="43.28515625" style="2" customWidth="1"/>
    <col min="12293" max="12293" width="15" style="2" customWidth="1"/>
    <col min="12294" max="12294" width="18.28515625" style="2" customWidth="1"/>
    <col min="12295" max="12295" width="15.28515625" style="2" customWidth="1"/>
    <col min="12296" max="12296" width="19.85546875" style="2" customWidth="1"/>
    <col min="12297" max="12297" width="9.140625" style="2"/>
    <col min="12298" max="12298" width="17.5703125" style="2" customWidth="1"/>
    <col min="12299" max="12544" width="9.140625" style="2"/>
    <col min="12545" max="12545" width="5.5703125" style="2" customWidth="1"/>
    <col min="12546" max="12546" width="10.28515625" style="2" customWidth="1"/>
    <col min="12547" max="12547" width="17.140625" style="2" customWidth="1"/>
    <col min="12548" max="12548" width="43.28515625" style="2" customWidth="1"/>
    <col min="12549" max="12549" width="15" style="2" customWidth="1"/>
    <col min="12550" max="12550" width="18.28515625" style="2" customWidth="1"/>
    <col min="12551" max="12551" width="15.28515625" style="2" customWidth="1"/>
    <col min="12552" max="12552" width="19.85546875" style="2" customWidth="1"/>
    <col min="12553" max="12553" width="9.140625" style="2"/>
    <col min="12554" max="12554" width="17.5703125" style="2" customWidth="1"/>
    <col min="12555" max="12800" width="9.140625" style="2"/>
    <col min="12801" max="12801" width="5.5703125" style="2" customWidth="1"/>
    <col min="12802" max="12802" width="10.28515625" style="2" customWidth="1"/>
    <col min="12803" max="12803" width="17.140625" style="2" customWidth="1"/>
    <col min="12804" max="12804" width="43.28515625" style="2" customWidth="1"/>
    <col min="12805" max="12805" width="15" style="2" customWidth="1"/>
    <col min="12806" max="12806" width="18.28515625" style="2" customWidth="1"/>
    <col min="12807" max="12807" width="15.28515625" style="2" customWidth="1"/>
    <col min="12808" max="12808" width="19.85546875" style="2" customWidth="1"/>
    <col min="12809" max="12809" width="9.140625" style="2"/>
    <col min="12810" max="12810" width="17.5703125" style="2" customWidth="1"/>
    <col min="12811" max="13056" width="9.140625" style="2"/>
    <col min="13057" max="13057" width="5.5703125" style="2" customWidth="1"/>
    <col min="13058" max="13058" width="10.28515625" style="2" customWidth="1"/>
    <col min="13059" max="13059" width="17.140625" style="2" customWidth="1"/>
    <col min="13060" max="13060" width="43.28515625" style="2" customWidth="1"/>
    <col min="13061" max="13061" width="15" style="2" customWidth="1"/>
    <col min="13062" max="13062" width="18.28515625" style="2" customWidth="1"/>
    <col min="13063" max="13063" width="15.28515625" style="2" customWidth="1"/>
    <col min="13064" max="13064" width="19.85546875" style="2" customWidth="1"/>
    <col min="13065" max="13065" width="9.140625" style="2"/>
    <col min="13066" max="13066" width="17.5703125" style="2" customWidth="1"/>
    <col min="13067" max="13312" width="9.140625" style="2"/>
    <col min="13313" max="13313" width="5.5703125" style="2" customWidth="1"/>
    <col min="13314" max="13314" width="10.28515625" style="2" customWidth="1"/>
    <col min="13315" max="13315" width="17.140625" style="2" customWidth="1"/>
    <col min="13316" max="13316" width="43.28515625" style="2" customWidth="1"/>
    <col min="13317" max="13317" width="15" style="2" customWidth="1"/>
    <col min="13318" max="13318" width="18.28515625" style="2" customWidth="1"/>
    <col min="13319" max="13319" width="15.28515625" style="2" customWidth="1"/>
    <col min="13320" max="13320" width="19.85546875" style="2" customWidth="1"/>
    <col min="13321" max="13321" width="9.140625" style="2"/>
    <col min="13322" max="13322" width="17.5703125" style="2" customWidth="1"/>
    <col min="13323" max="13568" width="9.140625" style="2"/>
    <col min="13569" max="13569" width="5.5703125" style="2" customWidth="1"/>
    <col min="13570" max="13570" width="10.28515625" style="2" customWidth="1"/>
    <col min="13571" max="13571" width="17.140625" style="2" customWidth="1"/>
    <col min="13572" max="13572" width="43.28515625" style="2" customWidth="1"/>
    <col min="13573" max="13573" width="15" style="2" customWidth="1"/>
    <col min="13574" max="13574" width="18.28515625" style="2" customWidth="1"/>
    <col min="13575" max="13575" width="15.28515625" style="2" customWidth="1"/>
    <col min="13576" max="13576" width="19.85546875" style="2" customWidth="1"/>
    <col min="13577" max="13577" width="9.140625" style="2"/>
    <col min="13578" max="13578" width="17.5703125" style="2" customWidth="1"/>
    <col min="13579" max="13824" width="9.140625" style="2"/>
    <col min="13825" max="13825" width="5.5703125" style="2" customWidth="1"/>
    <col min="13826" max="13826" width="10.28515625" style="2" customWidth="1"/>
    <col min="13827" max="13827" width="17.140625" style="2" customWidth="1"/>
    <col min="13828" max="13828" width="43.28515625" style="2" customWidth="1"/>
    <col min="13829" max="13829" width="15" style="2" customWidth="1"/>
    <col min="13830" max="13830" width="18.28515625" style="2" customWidth="1"/>
    <col min="13831" max="13831" width="15.28515625" style="2" customWidth="1"/>
    <col min="13832" max="13832" width="19.85546875" style="2" customWidth="1"/>
    <col min="13833" max="13833" width="9.140625" style="2"/>
    <col min="13834" max="13834" width="17.5703125" style="2" customWidth="1"/>
    <col min="13835" max="14080" width="9.140625" style="2"/>
    <col min="14081" max="14081" width="5.5703125" style="2" customWidth="1"/>
    <col min="14082" max="14082" width="10.28515625" style="2" customWidth="1"/>
    <col min="14083" max="14083" width="17.140625" style="2" customWidth="1"/>
    <col min="14084" max="14084" width="43.28515625" style="2" customWidth="1"/>
    <col min="14085" max="14085" width="15" style="2" customWidth="1"/>
    <col min="14086" max="14086" width="18.28515625" style="2" customWidth="1"/>
    <col min="14087" max="14087" width="15.28515625" style="2" customWidth="1"/>
    <col min="14088" max="14088" width="19.85546875" style="2" customWidth="1"/>
    <col min="14089" max="14089" width="9.140625" style="2"/>
    <col min="14090" max="14090" width="17.5703125" style="2" customWidth="1"/>
    <col min="14091" max="14336" width="9.140625" style="2"/>
    <col min="14337" max="14337" width="5.5703125" style="2" customWidth="1"/>
    <col min="14338" max="14338" width="10.28515625" style="2" customWidth="1"/>
    <col min="14339" max="14339" width="17.140625" style="2" customWidth="1"/>
    <col min="14340" max="14340" width="43.28515625" style="2" customWidth="1"/>
    <col min="14341" max="14341" width="15" style="2" customWidth="1"/>
    <col min="14342" max="14342" width="18.28515625" style="2" customWidth="1"/>
    <col min="14343" max="14343" width="15.28515625" style="2" customWidth="1"/>
    <col min="14344" max="14344" width="19.85546875" style="2" customWidth="1"/>
    <col min="14345" max="14345" width="9.140625" style="2"/>
    <col min="14346" max="14346" width="17.5703125" style="2" customWidth="1"/>
    <col min="14347" max="14592" width="9.140625" style="2"/>
    <col min="14593" max="14593" width="5.5703125" style="2" customWidth="1"/>
    <col min="14594" max="14594" width="10.28515625" style="2" customWidth="1"/>
    <col min="14595" max="14595" width="17.140625" style="2" customWidth="1"/>
    <col min="14596" max="14596" width="43.28515625" style="2" customWidth="1"/>
    <col min="14597" max="14597" width="15" style="2" customWidth="1"/>
    <col min="14598" max="14598" width="18.28515625" style="2" customWidth="1"/>
    <col min="14599" max="14599" width="15.28515625" style="2" customWidth="1"/>
    <col min="14600" max="14600" width="19.85546875" style="2" customWidth="1"/>
    <col min="14601" max="14601" width="9.140625" style="2"/>
    <col min="14602" max="14602" width="17.5703125" style="2" customWidth="1"/>
    <col min="14603" max="14848" width="9.140625" style="2"/>
    <col min="14849" max="14849" width="5.5703125" style="2" customWidth="1"/>
    <col min="14850" max="14850" width="10.28515625" style="2" customWidth="1"/>
    <col min="14851" max="14851" width="17.140625" style="2" customWidth="1"/>
    <col min="14852" max="14852" width="43.28515625" style="2" customWidth="1"/>
    <col min="14853" max="14853" width="15" style="2" customWidth="1"/>
    <col min="14854" max="14854" width="18.28515625" style="2" customWidth="1"/>
    <col min="14855" max="14855" width="15.28515625" style="2" customWidth="1"/>
    <col min="14856" max="14856" width="19.85546875" style="2" customWidth="1"/>
    <col min="14857" max="14857" width="9.140625" style="2"/>
    <col min="14858" max="14858" width="17.5703125" style="2" customWidth="1"/>
    <col min="14859" max="15104" width="9.140625" style="2"/>
    <col min="15105" max="15105" width="5.5703125" style="2" customWidth="1"/>
    <col min="15106" max="15106" width="10.28515625" style="2" customWidth="1"/>
    <col min="15107" max="15107" width="17.140625" style="2" customWidth="1"/>
    <col min="15108" max="15108" width="43.28515625" style="2" customWidth="1"/>
    <col min="15109" max="15109" width="15" style="2" customWidth="1"/>
    <col min="15110" max="15110" width="18.28515625" style="2" customWidth="1"/>
    <col min="15111" max="15111" width="15.28515625" style="2" customWidth="1"/>
    <col min="15112" max="15112" width="19.85546875" style="2" customWidth="1"/>
    <col min="15113" max="15113" width="9.140625" style="2"/>
    <col min="15114" max="15114" width="17.5703125" style="2" customWidth="1"/>
    <col min="15115" max="15360" width="9.140625" style="2"/>
    <col min="15361" max="15361" width="5.5703125" style="2" customWidth="1"/>
    <col min="15362" max="15362" width="10.28515625" style="2" customWidth="1"/>
    <col min="15363" max="15363" width="17.140625" style="2" customWidth="1"/>
    <col min="15364" max="15364" width="43.28515625" style="2" customWidth="1"/>
    <col min="15365" max="15365" width="15" style="2" customWidth="1"/>
    <col min="15366" max="15366" width="18.28515625" style="2" customWidth="1"/>
    <col min="15367" max="15367" width="15.28515625" style="2" customWidth="1"/>
    <col min="15368" max="15368" width="19.85546875" style="2" customWidth="1"/>
    <col min="15369" max="15369" width="9.140625" style="2"/>
    <col min="15370" max="15370" width="17.5703125" style="2" customWidth="1"/>
    <col min="15371" max="15616" width="9.140625" style="2"/>
    <col min="15617" max="15617" width="5.5703125" style="2" customWidth="1"/>
    <col min="15618" max="15618" width="10.28515625" style="2" customWidth="1"/>
    <col min="15619" max="15619" width="17.140625" style="2" customWidth="1"/>
    <col min="15620" max="15620" width="43.28515625" style="2" customWidth="1"/>
    <col min="15621" max="15621" width="15" style="2" customWidth="1"/>
    <col min="15622" max="15622" width="18.28515625" style="2" customWidth="1"/>
    <col min="15623" max="15623" width="15.28515625" style="2" customWidth="1"/>
    <col min="15624" max="15624" width="19.85546875" style="2" customWidth="1"/>
    <col min="15625" max="15625" width="9.140625" style="2"/>
    <col min="15626" max="15626" width="17.5703125" style="2" customWidth="1"/>
    <col min="15627" max="15872" width="9.140625" style="2"/>
    <col min="15873" max="15873" width="5.5703125" style="2" customWidth="1"/>
    <col min="15874" max="15874" width="10.28515625" style="2" customWidth="1"/>
    <col min="15875" max="15875" width="17.140625" style="2" customWidth="1"/>
    <col min="15876" max="15876" width="43.28515625" style="2" customWidth="1"/>
    <col min="15877" max="15877" width="15" style="2" customWidth="1"/>
    <col min="15878" max="15878" width="18.28515625" style="2" customWidth="1"/>
    <col min="15879" max="15879" width="15.28515625" style="2" customWidth="1"/>
    <col min="15880" max="15880" width="19.85546875" style="2" customWidth="1"/>
    <col min="15881" max="15881" width="9.140625" style="2"/>
    <col min="15882" max="15882" width="17.5703125" style="2" customWidth="1"/>
    <col min="15883" max="16128" width="9.140625" style="2"/>
    <col min="16129" max="16129" width="5.5703125" style="2" customWidth="1"/>
    <col min="16130" max="16130" width="10.28515625" style="2" customWidth="1"/>
    <col min="16131" max="16131" width="17.140625" style="2" customWidth="1"/>
    <col min="16132" max="16132" width="43.28515625" style="2" customWidth="1"/>
    <col min="16133" max="16133" width="15" style="2" customWidth="1"/>
    <col min="16134" max="16134" width="18.28515625" style="2" customWidth="1"/>
    <col min="16135" max="16135" width="15.28515625" style="2" customWidth="1"/>
    <col min="16136" max="16136" width="19.85546875" style="2" customWidth="1"/>
    <col min="16137" max="16137" width="9.140625" style="2"/>
    <col min="16138" max="16138" width="17.5703125" style="2" customWidth="1"/>
    <col min="16139" max="16384" width="9.140625" style="2"/>
  </cols>
  <sheetData>
    <row r="1" spans="1:12" s="1" customFormat="1" ht="18.75">
      <c r="A1" s="127" t="s">
        <v>52</v>
      </c>
      <c r="B1" s="127"/>
      <c r="C1" s="127"/>
      <c r="D1" s="127"/>
      <c r="E1" s="127"/>
      <c r="F1" s="127"/>
      <c r="G1" s="127"/>
      <c r="H1" s="127"/>
    </row>
    <row r="2" spans="1:12" ht="16.5" thickBot="1"/>
    <row r="3" spans="1:12" s="8" customFormat="1" ht="84" customHeight="1" thickBot="1">
      <c r="A3" s="80" t="s">
        <v>1</v>
      </c>
      <c r="B3" s="81" t="s">
        <v>2</v>
      </c>
      <c r="C3" s="82" t="s">
        <v>3</v>
      </c>
      <c r="D3" s="82" t="s">
        <v>4</v>
      </c>
      <c r="E3" s="82" t="s">
        <v>5</v>
      </c>
      <c r="F3" s="82" t="s">
        <v>6</v>
      </c>
      <c r="G3" s="82" t="s">
        <v>7</v>
      </c>
      <c r="H3" s="83" t="s">
        <v>8</v>
      </c>
      <c r="J3" s="128" t="s">
        <v>9</v>
      </c>
      <c r="K3" s="129"/>
      <c r="L3" s="129"/>
    </row>
    <row r="4" spans="1:12" ht="15.75" customHeight="1">
      <c r="A4" s="167">
        <v>1</v>
      </c>
      <c r="B4" s="170" t="s">
        <v>49</v>
      </c>
      <c r="C4" s="173" t="s">
        <v>11</v>
      </c>
      <c r="D4" s="84" t="s">
        <v>12</v>
      </c>
      <c r="E4" s="85" t="s">
        <v>13</v>
      </c>
      <c r="F4" s="86">
        <v>10.55</v>
      </c>
      <c r="G4" s="86">
        <v>243277.73</v>
      </c>
      <c r="H4" s="87">
        <f>F4*G4</f>
        <v>2566580.0515000001</v>
      </c>
    </row>
    <row r="5" spans="1:12" ht="20.25" customHeight="1">
      <c r="A5" s="168"/>
      <c r="B5" s="171"/>
      <c r="C5" s="174"/>
      <c r="D5" s="88" t="s">
        <v>16</v>
      </c>
      <c r="E5" s="89" t="s">
        <v>15</v>
      </c>
      <c r="F5" s="90">
        <v>5159.1149999999998</v>
      </c>
      <c r="G5" s="91">
        <v>0</v>
      </c>
      <c r="H5" s="92">
        <f>F5*G5</f>
        <v>0</v>
      </c>
    </row>
    <row r="6" spans="1:12" ht="16.5" customHeight="1">
      <c r="A6" s="168"/>
      <c r="B6" s="171"/>
      <c r="C6" s="174"/>
      <c r="D6" s="88" t="s">
        <v>17</v>
      </c>
      <c r="E6" s="89" t="s">
        <v>15</v>
      </c>
      <c r="F6" s="90">
        <v>314.005</v>
      </c>
      <c r="G6" s="91">
        <v>0</v>
      </c>
      <c r="H6" s="92">
        <f>F6*G6</f>
        <v>0</v>
      </c>
    </row>
    <row r="7" spans="1:12">
      <c r="A7" s="168"/>
      <c r="B7" s="171"/>
      <c r="C7" s="174"/>
      <c r="D7" s="88" t="s">
        <v>18</v>
      </c>
      <c r="E7" s="89" t="s">
        <v>15</v>
      </c>
      <c r="F7" s="90">
        <v>638.44500000000005</v>
      </c>
      <c r="G7" s="91">
        <v>0</v>
      </c>
      <c r="H7" s="92">
        <f>F7*G7</f>
        <v>0</v>
      </c>
    </row>
    <row r="8" spans="1:12">
      <c r="A8" s="168"/>
      <c r="B8" s="171"/>
      <c r="C8" s="174"/>
      <c r="D8" s="93" t="s">
        <v>19</v>
      </c>
      <c r="E8" s="94"/>
      <c r="F8" s="95">
        <f>F4</f>
        <v>10.55</v>
      </c>
      <c r="G8" s="95"/>
      <c r="H8" s="96">
        <f>H4</f>
        <v>2566580.0515000001</v>
      </c>
    </row>
    <row r="9" spans="1:12" ht="16.5" thickBot="1">
      <c r="A9" s="169"/>
      <c r="B9" s="172"/>
      <c r="C9" s="175"/>
      <c r="D9" s="97" t="s">
        <v>20</v>
      </c>
      <c r="E9" s="98"/>
      <c r="F9" s="99">
        <f>F5+F6+F7</f>
        <v>6111.5649999999996</v>
      </c>
      <c r="G9" s="100"/>
      <c r="H9" s="101">
        <f>H5+H6+H7</f>
        <v>0</v>
      </c>
    </row>
    <row r="10" spans="1:12" ht="16.5" customHeight="1">
      <c r="A10" s="158">
        <v>2</v>
      </c>
      <c r="B10" s="161" t="s">
        <v>21</v>
      </c>
      <c r="C10" s="164" t="s">
        <v>11</v>
      </c>
      <c r="D10" s="84" t="s">
        <v>12</v>
      </c>
      <c r="E10" s="85" t="s">
        <v>13</v>
      </c>
      <c r="F10" s="86">
        <v>10.55</v>
      </c>
      <c r="G10" s="86">
        <v>243277.73</v>
      </c>
      <c r="H10" s="87">
        <f>F10*G10</f>
        <v>2566580.0515000001</v>
      </c>
    </row>
    <row r="11" spans="1:12" ht="21.75" customHeight="1">
      <c r="A11" s="159"/>
      <c r="B11" s="162"/>
      <c r="C11" s="165"/>
      <c r="D11" s="88" t="s">
        <v>16</v>
      </c>
      <c r="E11" s="89" t="s">
        <v>15</v>
      </c>
      <c r="F11" s="90">
        <v>4696.451</v>
      </c>
      <c r="G11" s="91">
        <v>0</v>
      </c>
      <c r="H11" s="92">
        <f>F11*G11</f>
        <v>0</v>
      </c>
    </row>
    <row r="12" spans="1:12" ht="21.75" customHeight="1">
      <c r="A12" s="159"/>
      <c r="B12" s="162"/>
      <c r="C12" s="165"/>
      <c r="D12" s="88" t="s">
        <v>17</v>
      </c>
      <c r="E12" s="89" t="s">
        <v>15</v>
      </c>
      <c r="F12" s="90">
        <v>270.40899999999999</v>
      </c>
      <c r="G12" s="91">
        <v>0</v>
      </c>
      <c r="H12" s="92">
        <f>F12*G12</f>
        <v>0</v>
      </c>
    </row>
    <row r="13" spans="1:12">
      <c r="A13" s="159"/>
      <c r="B13" s="162"/>
      <c r="C13" s="165"/>
      <c r="D13" s="88" t="s">
        <v>18</v>
      </c>
      <c r="E13" s="89" t="s">
        <v>15</v>
      </c>
      <c r="F13" s="90">
        <v>600.84100000000001</v>
      </c>
      <c r="G13" s="91">
        <v>0</v>
      </c>
      <c r="H13" s="92">
        <f>F13*G13</f>
        <v>0</v>
      </c>
    </row>
    <row r="14" spans="1:12">
      <c r="A14" s="159"/>
      <c r="B14" s="162"/>
      <c r="C14" s="165"/>
      <c r="D14" s="93" t="s">
        <v>19</v>
      </c>
      <c r="E14" s="94"/>
      <c r="F14" s="95">
        <f>F10</f>
        <v>10.55</v>
      </c>
      <c r="G14" s="95"/>
      <c r="H14" s="96">
        <f>H10</f>
        <v>2566580.0515000001</v>
      </c>
    </row>
    <row r="15" spans="1:12" ht="16.5" thickBot="1">
      <c r="A15" s="160"/>
      <c r="B15" s="163"/>
      <c r="C15" s="166"/>
      <c r="D15" s="102" t="s">
        <v>20</v>
      </c>
      <c r="E15" s="103"/>
      <c r="F15" s="99">
        <f>F11+F12+F13</f>
        <v>5567.701</v>
      </c>
      <c r="G15" s="100"/>
      <c r="H15" s="101">
        <f>H11+H12+H13</f>
        <v>0</v>
      </c>
    </row>
    <row r="16" spans="1:12" ht="16.5" customHeight="1">
      <c r="A16" s="158">
        <v>3</v>
      </c>
      <c r="B16" s="161" t="s">
        <v>47</v>
      </c>
      <c r="C16" s="164" t="s">
        <v>11</v>
      </c>
      <c r="D16" s="84" t="s">
        <v>12</v>
      </c>
      <c r="E16" s="85" t="s">
        <v>13</v>
      </c>
      <c r="F16" s="86">
        <v>10.55</v>
      </c>
      <c r="G16" s="86">
        <v>243277.73</v>
      </c>
      <c r="H16" s="87">
        <f>F16*G16</f>
        <v>2566580.0515000001</v>
      </c>
    </row>
    <row r="17" spans="1:8" ht="25.5">
      <c r="A17" s="159"/>
      <c r="B17" s="162"/>
      <c r="C17" s="165"/>
      <c r="D17" s="88" t="s">
        <v>16</v>
      </c>
      <c r="E17" s="89" t="s">
        <v>15</v>
      </c>
      <c r="F17" s="90">
        <v>4040.3359999999998</v>
      </c>
      <c r="G17" s="91">
        <v>0</v>
      </c>
      <c r="H17" s="92">
        <f>F17*G17</f>
        <v>0</v>
      </c>
    </row>
    <row r="18" spans="1:8" ht="25.5">
      <c r="A18" s="159"/>
      <c r="B18" s="162"/>
      <c r="C18" s="165"/>
      <c r="D18" s="88" t="s">
        <v>17</v>
      </c>
      <c r="E18" s="89" t="s">
        <v>15</v>
      </c>
      <c r="F18" s="90">
        <v>222.94399999999999</v>
      </c>
      <c r="G18" s="91">
        <v>0</v>
      </c>
      <c r="H18" s="92">
        <f>F18*G18</f>
        <v>0</v>
      </c>
    </row>
    <row r="19" spans="1:8">
      <c r="A19" s="159"/>
      <c r="B19" s="162"/>
      <c r="C19" s="165"/>
      <c r="D19" s="88" t="s">
        <v>18</v>
      </c>
      <c r="E19" s="89" t="s">
        <v>15</v>
      </c>
      <c r="F19" s="90">
        <v>553.78499999999997</v>
      </c>
      <c r="G19" s="91">
        <v>0</v>
      </c>
      <c r="H19" s="92">
        <f>F19*G19</f>
        <v>0</v>
      </c>
    </row>
    <row r="20" spans="1:8">
      <c r="A20" s="159"/>
      <c r="B20" s="162"/>
      <c r="C20" s="165"/>
      <c r="D20" s="93" t="s">
        <v>19</v>
      </c>
      <c r="E20" s="94"/>
      <c r="F20" s="95">
        <f>F16</f>
        <v>10.55</v>
      </c>
      <c r="G20" s="95"/>
      <c r="H20" s="96">
        <f>H16</f>
        <v>2566580.0515000001</v>
      </c>
    </row>
    <row r="21" spans="1:8" ht="16.5" thickBot="1">
      <c r="A21" s="160"/>
      <c r="B21" s="163"/>
      <c r="C21" s="166"/>
      <c r="D21" s="102" t="s">
        <v>20</v>
      </c>
      <c r="E21" s="103"/>
      <c r="F21" s="99">
        <f>F17+F18+F19</f>
        <v>4817.0649999999996</v>
      </c>
      <c r="G21" s="100"/>
      <c r="H21" s="101">
        <f>H17+H18+H19</f>
        <v>0</v>
      </c>
    </row>
    <row r="22" spans="1:8" ht="16.5" customHeight="1">
      <c r="A22" s="158">
        <v>4</v>
      </c>
      <c r="B22" s="161" t="s">
        <v>23</v>
      </c>
      <c r="C22" s="164" t="s">
        <v>11</v>
      </c>
      <c r="D22" s="84" t="s">
        <v>12</v>
      </c>
      <c r="E22" s="85" t="s">
        <v>13</v>
      </c>
      <c r="F22" s="86">
        <v>10.55</v>
      </c>
      <c r="G22" s="86">
        <v>243277.73</v>
      </c>
      <c r="H22" s="87">
        <f>F22*G22</f>
        <v>2566580.0515000001</v>
      </c>
    </row>
    <row r="23" spans="1:8" ht="25.5">
      <c r="A23" s="159"/>
      <c r="B23" s="162"/>
      <c r="C23" s="165"/>
      <c r="D23" s="88" t="s">
        <v>16</v>
      </c>
      <c r="E23" s="89" t="s">
        <v>15</v>
      </c>
      <c r="F23" s="90">
        <v>3508.2269999999999</v>
      </c>
      <c r="G23" s="91">
        <v>0</v>
      </c>
      <c r="H23" s="92">
        <f>F23*G23</f>
        <v>0</v>
      </c>
    </row>
    <row r="24" spans="1:8" ht="25.5">
      <c r="A24" s="159"/>
      <c r="B24" s="162"/>
      <c r="C24" s="165"/>
      <c r="D24" s="88" t="s">
        <v>17</v>
      </c>
      <c r="E24" s="89" t="s">
        <v>15</v>
      </c>
      <c r="F24" s="90">
        <v>228.47800000000001</v>
      </c>
      <c r="G24" s="91">
        <v>0</v>
      </c>
      <c r="H24" s="92">
        <f>F24*G24</f>
        <v>0</v>
      </c>
    </row>
    <row r="25" spans="1:8">
      <c r="A25" s="159"/>
      <c r="B25" s="162"/>
      <c r="C25" s="165"/>
      <c r="D25" s="88" t="s">
        <v>18</v>
      </c>
      <c r="E25" s="89" t="s">
        <v>15</v>
      </c>
      <c r="F25" s="90">
        <v>467.15</v>
      </c>
      <c r="G25" s="91">
        <v>0</v>
      </c>
      <c r="H25" s="92">
        <f>F25*G25</f>
        <v>0</v>
      </c>
    </row>
    <row r="26" spans="1:8">
      <c r="A26" s="159"/>
      <c r="B26" s="162"/>
      <c r="C26" s="165"/>
      <c r="D26" s="93" t="s">
        <v>19</v>
      </c>
      <c r="E26" s="94"/>
      <c r="F26" s="95">
        <f>F22</f>
        <v>10.55</v>
      </c>
      <c r="G26" s="95"/>
      <c r="H26" s="96">
        <f>H22</f>
        <v>2566580.0515000001</v>
      </c>
    </row>
    <row r="27" spans="1:8" ht="16.5" thickBot="1">
      <c r="A27" s="160"/>
      <c r="B27" s="163"/>
      <c r="C27" s="166"/>
      <c r="D27" s="102" t="s">
        <v>20</v>
      </c>
      <c r="E27" s="103"/>
      <c r="F27" s="99">
        <f>F23+F24+F25</f>
        <v>4203.8549999999996</v>
      </c>
      <c r="G27" s="100"/>
      <c r="H27" s="101">
        <f>H23+H24+H25</f>
        <v>0</v>
      </c>
    </row>
    <row r="28" spans="1:8">
      <c r="A28" s="158">
        <v>5</v>
      </c>
      <c r="B28" s="161" t="s">
        <v>24</v>
      </c>
      <c r="C28" s="164" t="s">
        <v>11</v>
      </c>
      <c r="D28" s="84" t="s">
        <v>12</v>
      </c>
      <c r="E28" s="85" t="s">
        <v>13</v>
      </c>
      <c r="F28" s="86">
        <v>10.55</v>
      </c>
      <c r="G28" s="86">
        <v>243277.73</v>
      </c>
      <c r="H28" s="87">
        <f>F28*G28</f>
        <v>2566580.0515000001</v>
      </c>
    </row>
    <row r="29" spans="1:8" ht="25.5">
      <c r="A29" s="159"/>
      <c r="B29" s="162"/>
      <c r="C29" s="165"/>
      <c r="D29" s="88" t="s">
        <v>16</v>
      </c>
      <c r="E29" s="89" t="s">
        <v>15</v>
      </c>
      <c r="F29" s="90">
        <v>3443.84</v>
      </c>
      <c r="G29" s="91">
        <v>0</v>
      </c>
      <c r="H29" s="92">
        <f>F29*G29</f>
        <v>0</v>
      </c>
    </row>
    <row r="30" spans="1:8" ht="25.5">
      <c r="A30" s="159"/>
      <c r="B30" s="162"/>
      <c r="C30" s="165"/>
      <c r="D30" s="88" t="s">
        <v>17</v>
      </c>
      <c r="E30" s="89" t="s">
        <v>15</v>
      </c>
      <c r="F30" s="90">
        <v>221.14599999999999</v>
      </c>
      <c r="G30" s="91">
        <v>0</v>
      </c>
      <c r="H30" s="92">
        <f>F30*G30</f>
        <v>0</v>
      </c>
    </row>
    <row r="31" spans="1:8">
      <c r="A31" s="159"/>
      <c r="B31" s="162"/>
      <c r="C31" s="165"/>
      <c r="D31" s="88" t="s">
        <v>18</v>
      </c>
      <c r="E31" s="89" t="s">
        <v>15</v>
      </c>
      <c r="F31" s="90">
        <v>507.59399999999999</v>
      </c>
      <c r="G31" s="91">
        <v>0</v>
      </c>
      <c r="H31" s="92">
        <f>F31*G31</f>
        <v>0</v>
      </c>
    </row>
    <row r="32" spans="1:8">
      <c r="A32" s="159"/>
      <c r="B32" s="162"/>
      <c r="C32" s="165"/>
      <c r="D32" s="93" t="s">
        <v>19</v>
      </c>
      <c r="E32" s="94"/>
      <c r="F32" s="95">
        <f>F28</f>
        <v>10.55</v>
      </c>
      <c r="G32" s="95"/>
      <c r="H32" s="96">
        <f>H28</f>
        <v>2566580.0515000001</v>
      </c>
    </row>
    <row r="33" spans="1:8" ht="16.5" thickBot="1">
      <c r="A33" s="160"/>
      <c r="B33" s="163"/>
      <c r="C33" s="166"/>
      <c r="D33" s="102" t="s">
        <v>20</v>
      </c>
      <c r="E33" s="103"/>
      <c r="F33" s="99">
        <f>F29+F30+F31</f>
        <v>4172.58</v>
      </c>
      <c r="G33" s="100"/>
      <c r="H33" s="101">
        <f>H29+H30+H31</f>
        <v>0</v>
      </c>
    </row>
    <row r="34" spans="1:8">
      <c r="A34" s="158">
        <v>6</v>
      </c>
      <c r="B34" s="161" t="s">
        <v>25</v>
      </c>
      <c r="C34" s="164" t="s">
        <v>11</v>
      </c>
      <c r="D34" s="84" t="s">
        <v>12</v>
      </c>
      <c r="E34" s="85" t="s">
        <v>13</v>
      </c>
      <c r="F34" s="86">
        <v>10.55</v>
      </c>
      <c r="G34" s="86">
        <v>243277.73</v>
      </c>
      <c r="H34" s="87">
        <f>F34*G34</f>
        <v>2566580.0515000001</v>
      </c>
    </row>
    <row r="35" spans="1:8" ht="25.5">
      <c r="A35" s="159"/>
      <c r="B35" s="162"/>
      <c r="C35" s="165"/>
      <c r="D35" s="88" t="s">
        <v>16</v>
      </c>
      <c r="E35" s="89" t="s">
        <v>15</v>
      </c>
      <c r="F35" s="90">
        <v>3268.5059999999999</v>
      </c>
      <c r="G35" s="91">
        <v>0</v>
      </c>
      <c r="H35" s="92">
        <f>F35*G35</f>
        <v>0</v>
      </c>
    </row>
    <row r="36" spans="1:8" ht="25.5">
      <c r="A36" s="159"/>
      <c r="B36" s="162"/>
      <c r="C36" s="165"/>
      <c r="D36" s="88" t="s">
        <v>17</v>
      </c>
      <c r="E36" s="89" t="s">
        <v>15</v>
      </c>
      <c r="F36" s="90">
        <v>258.089</v>
      </c>
      <c r="G36" s="91">
        <v>0</v>
      </c>
      <c r="H36" s="92">
        <f>F36*G36</f>
        <v>0</v>
      </c>
    </row>
    <row r="37" spans="1:8">
      <c r="A37" s="159"/>
      <c r="B37" s="162"/>
      <c r="C37" s="165"/>
      <c r="D37" s="88" t="s">
        <v>18</v>
      </c>
      <c r="E37" s="89" t="s">
        <v>15</v>
      </c>
      <c r="F37" s="90">
        <v>565.91700000000003</v>
      </c>
      <c r="G37" s="91">
        <v>0</v>
      </c>
      <c r="H37" s="92">
        <f>F37*G37</f>
        <v>0</v>
      </c>
    </row>
    <row r="38" spans="1:8">
      <c r="A38" s="159"/>
      <c r="B38" s="162"/>
      <c r="C38" s="165"/>
      <c r="D38" s="93" t="s">
        <v>19</v>
      </c>
      <c r="E38" s="94"/>
      <c r="F38" s="95">
        <f>F34</f>
        <v>10.55</v>
      </c>
      <c r="G38" s="95"/>
      <c r="H38" s="96">
        <f>H34</f>
        <v>2566580.0515000001</v>
      </c>
    </row>
    <row r="39" spans="1:8" ht="16.5" thickBot="1">
      <c r="A39" s="160"/>
      <c r="B39" s="163"/>
      <c r="C39" s="166"/>
      <c r="D39" s="102" t="s">
        <v>20</v>
      </c>
      <c r="E39" s="103"/>
      <c r="F39" s="99">
        <f>F35+F36+F37</f>
        <v>4092.5119999999997</v>
      </c>
      <c r="G39" s="100"/>
      <c r="H39" s="101">
        <f>H35+H36+H37</f>
        <v>0</v>
      </c>
    </row>
    <row r="40" spans="1:8">
      <c r="A40" s="158">
        <v>7</v>
      </c>
      <c r="B40" s="161" t="s">
        <v>26</v>
      </c>
      <c r="C40" s="164" t="s">
        <v>11</v>
      </c>
      <c r="D40" s="84" t="s">
        <v>12</v>
      </c>
      <c r="E40" s="85" t="s">
        <v>13</v>
      </c>
      <c r="F40" s="86">
        <v>10.55</v>
      </c>
      <c r="G40" s="86">
        <v>243277.73</v>
      </c>
      <c r="H40" s="87">
        <f>F40*G40</f>
        <v>2566580.0515000001</v>
      </c>
    </row>
    <row r="41" spans="1:8" ht="25.5">
      <c r="A41" s="159"/>
      <c r="B41" s="162"/>
      <c r="C41" s="165"/>
      <c r="D41" s="88" t="s">
        <v>16</v>
      </c>
      <c r="E41" s="89" t="s">
        <v>15</v>
      </c>
      <c r="F41" s="90">
        <v>3896.9850000000001</v>
      </c>
      <c r="G41" s="91">
        <v>0</v>
      </c>
      <c r="H41" s="92">
        <f>F41*G41</f>
        <v>0</v>
      </c>
    </row>
    <row r="42" spans="1:8" ht="25.5">
      <c r="A42" s="159"/>
      <c r="B42" s="162"/>
      <c r="C42" s="165"/>
      <c r="D42" s="88" t="s">
        <v>17</v>
      </c>
      <c r="E42" s="89" t="s">
        <v>15</v>
      </c>
      <c r="F42" s="90">
        <v>295.87299999999999</v>
      </c>
      <c r="G42" s="91">
        <v>0</v>
      </c>
      <c r="H42" s="92">
        <f>F42*G42</f>
        <v>0</v>
      </c>
    </row>
    <row r="43" spans="1:8">
      <c r="A43" s="159"/>
      <c r="B43" s="162"/>
      <c r="C43" s="165"/>
      <c r="D43" s="88" t="s">
        <v>18</v>
      </c>
      <c r="E43" s="89" t="s">
        <v>15</v>
      </c>
      <c r="F43" s="90">
        <v>734.27499999999998</v>
      </c>
      <c r="G43" s="91">
        <v>0</v>
      </c>
      <c r="H43" s="92">
        <f>F43*G43</f>
        <v>0</v>
      </c>
    </row>
    <row r="44" spans="1:8">
      <c r="A44" s="159"/>
      <c r="B44" s="162"/>
      <c r="C44" s="165"/>
      <c r="D44" s="93" t="s">
        <v>19</v>
      </c>
      <c r="E44" s="94"/>
      <c r="F44" s="95">
        <f>F40</f>
        <v>10.55</v>
      </c>
      <c r="G44" s="95"/>
      <c r="H44" s="96">
        <f>H40</f>
        <v>2566580.0515000001</v>
      </c>
    </row>
    <row r="45" spans="1:8" ht="16.5" thickBot="1">
      <c r="A45" s="160"/>
      <c r="B45" s="163"/>
      <c r="C45" s="166"/>
      <c r="D45" s="102" t="s">
        <v>20</v>
      </c>
      <c r="E45" s="103"/>
      <c r="F45" s="99">
        <f>F41+F42+F43</f>
        <v>4927.1329999999998</v>
      </c>
      <c r="G45" s="100"/>
      <c r="H45" s="101">
        <f>H41+H42+H43</f>
        <v>0</v>
      </c>
    </row>
    <row r="46" spans="1:8">
      <c r="A46" s="158">
        <v>8</v>
      </c>
      <c r="B46" s="161" t="s">
        <v>27</v>
      </c>
      <c r="C46" s="164" t="s">
        <v>11</v>
      </c>
      <c r="D46" s="84" t="s">
        <v>12</v>
      </c>
      <c r="E46" s="85" t="s">
        <v>13</v>
      </c>
      <c r="F46" s="86">
        <v>10.55</v>
      </c>
      <c r="G46" s="86">
        <v>243277.73</v>
      </c>
      <c r="H46" s="87">
        <f>F46*G46</f>
        <v>2566580.0515000001</v>
      </c>
    </row>
    <row r="47" spans="1:8" ht="25.5">
      <c r="A47" s="159"/>
      <c r="B47" s="162"/>
      <c r="C47" s="165"/>
      <c r="D47" s="88" t="s">
        <v>16</v>
      </c>
      <c r="E47" s="89" t="s">
        <v>15</v>
      </c>
      <c r="F47" s="90">
        <v>4122.0469999999996</v>
      </c>
      <c r="G47" s="91">
        <v>0</v>
      </c>
      <c r="H47" s="92">
        <f>F47*G47</f>
        <v>0</v>
      </c>
    </row>
    <row r="48" spans="1:8" ht="25.5">
      <c r="A48" s="159"/>
      <c r="B48" s="162"/>
      <c r="C48" s="165"/>
      <c r="D48" s="88" t="s">
        <v>17</v>
      </c>
      <c r="E48" s="89" t="s">
        <v>15</v>
      </c>
      <c r="F48" s="90">
        <v>322.90899999999999</v>
      </c>
      <c r="G48" s="91">
        <v>0</v>
      </c>
      <c r="H48" s="92">
        <f>F48*G48</f>
        <v>0</v>
      </c>
    </row>
    <row r="49" spans="1:8">
      <c r="A49" s="159"/>
      <c r="B49" s="162"/>
      <c r="C49" s="165"/>
      <c r="D49" s="88" t="s">
        <v>18</v>
      </c>
      <c r="E49" s="89" t="s">
        <v>15</v>
      </c>
      <c r="F49" s="90">
        <v>997.92399999999998</v>
      </c>
      <c r="G49" s="91">
        <v>0</v>
      </c>
      <c r="H49" s="92">
        <f>F49*G49</f>
        <v>0</v>
      </c>
    </row>
    <row r="50" spans="1:8">
      <c r="A50" s="159"/>
      <c r="B50" s="162"/>
      <c r="C50" s="165"/>
      <c r="D50" s="93" t="s">
        <v>19</v>
      </c>
      <c r="E50" s="94"/>
      <c r="F50" s="95">
        <f>F46</f>
        <v>10.55</v>
      </c>
      <c r="G50" s="95"/>
      <c r="H50" s="96">
        <f>H46</f>
        <v>2566580.0515000001</v>
      </c>
    </row>
    <row r="51" spans="1:8" ht="16.5" thickBot="1">
      <c r="A51" s="160"/>
      <c r="B51" s="163"/>
      <c r="C51" s="166"/>
      <c r="D51" s="102" t="s">
        <v>20</v>
      </c>
      <c r="E51" s="103"/>
      <c r="F51" s="99">
        <f>F47+F48+F49</f>
        <v>5442.8799999999992</v>
      </c>
      <c r="G51" s="100"/>
      <c r="H51" s="101">
        <f>H47+H48+H49</f>
        <v>0</v>
      </c>
    </row>
    <row r="52" spans="1:8">
      <c r="A52" s="158">
        <v>9</v>
      </c>
      <c r="B52" s="161" t="s">
        <v>28</v>
      </c>
      <c r="C52" s="164" t="s">
        <v>11</v>
      </c>
      <c r="D52" s="84" t="s">
        <v>12</v>
      </c>
      <c r="E52" s="85" t="s">
        <v>13</v>
      </c>
      <c r="F52" s="86">
        <v>10.55</v>
      </c>
      <c r="G52" s="86">
        <v>243277.73</v>
      </c>
      <c r="H52" s="87">
        <f>F52*G52</f>
        <v>2566580.0515000001</v>
      </c>
    </row>
    <row r="53" spans="1:8" ht="25.5">
      <c r="A53" s="159"/>
      <c r="B53" s="162"/>
      <c r="C53" s="165"/>
      <c r="D53" s="88" t="s">
        <v>16</v>
      </c>
      <c r="E53" s="89" t="s">
        <v>15</v>
      </c>
      <c r="F53" s="90">
        <v>3236.3960000000002</v>
      </c>
      <c r="G53" s="91">
        <v>0</v>
      </c>
      <c r="H53" s="92">
        <f>F53*G53</f>
        <v>0</v>
      </c>
    </row>
    <row r="54" spans="1:8" ht="25.5">
      <c r="A54" s="159"/>
      <c r="B54" s="162"/>
      <c r="C54" s="165"/>
      <c r="D54" s="88" t="s">
        <v>17</v>
      </c>
      <c r="E54" s="89" t="s">
        <v>15</v>
      </c>
      <c r="F54" s="90">
        <v>261.57400000000001</v>
      </c>
      <c r="G54" s="91">
        <v>0</v>
      </c>
      <c r="H54" s="92">
        <f>F54*G54</f>
        <v>0</v>
      </c>
    </row>
    <row r="55" spans="1:8">
      <c r="A55" s="159"/>
      <c r="B55" s="162"/>
      <c r="C55" s="165"/>
      <c r="D55" s="88" t="s">
        <v>18</v>
      </c>
      <c r="E55" s="89" t="s">
        <v>15</v>
      </c>
      <c r="F55" s="90">
        <v>618.36800000000005</v>
      </c>
      <c r="G55" s="91">
        <v>0</v>
      </c>
      <c r="H55" s="92">
        <f>F55*G55</f>
        <v>0</v>
      </c>
    </row>
    <row r="56" spans="1:8">
      <c r="A56" s="159"/>
      <c r="B56" s="162"/>
      <c r="C56" s="165"/>
      <c r="D56" s="93" t="s">
        <v>19</v>
      </c>
      <c r="E56" s="94"/>
      <c r="F56" s="95">
        <f>F52</f>
        <v>10.55</v>
      </c>
      <c r="G56" s="95"/>
      <c r="H56" s="96">
        <f>H52</f>
        <v>2566580.0515000001</v>
      </c>
    </row>
    <row r="57" spans="1:8" ht="16.5" thickBot="1">
      <c r="A57" s="160"/>
      <c r="B57" s="163"/>
      <c r="C57" s="166"/>
      <c r="D57" s="102" t="s">
        <v>20</v>
      </c>
      <c r="E57" s="103"/>
      <c r="F57" s="99">
        <f>F53+F54+F55</f>
        <v>4116.3380000000006</v>
      </c>
      <c r="G57" s="100"/>
      <c r="H57" s="101">
        <f>H53+H54+H55</f>
        <v>0</v>
      </c>
    </row>
    <row r="58" spans="1:8">
      <c r="A58" s="158">
        <v>10</v>
      </c>
      <c r="B58" s="161" t="s">
        <v>29</v>
      </c>
      <c r="C58" s="164" t="s">
        <v>11</v>
      </c>
      <c r="D58" s="84" t="s">
        <v>12</v>
      </c>
      <c r="E58" s="85" t="s">
        <v>13</v>
      </c>
      <c r="F58" s="86">
        <v>10.55</v>
      </c>
      <c r="G58" s="86">
        <v>243277.73</v>
      </c>
      <c r="H58" s="87">
        <f>F58*G58</f>
        <v>2566580.0515000001</v>
      </c>
    </row>
    <row r="59" spans="1:8" ht="25.5">
      <c r="A59" s="159"/>
      <c r="B59" s="162"/>
      <c r="C59" s="165"/>
      <c r="D59" s="88" t="s">
        <v>16</v>
      </c>
      <c r="E59" s="89" t="s">
        <v>15</v>
      </c>
      <c r="F59" s="90">
        <v>3035.7359999999999</v>
      </c>
      <c r="G59" s="91">
        <v>0</v>
      </c>
      <c r="H59" s="92">
        <f>F59*G59</f>
        <v>0</v>
      </c>
    </row>
    <row r="60" spans="1:8" ht="25.5">
      <c r="A60" s="159"/>
      <c r="B60" s="162"/>
      <c r="C60" s="165"/>
      <c r="D60" s="88" t="s">
        <v>17</v>
      </c>
      <c r="E60" s="89" t="s">
        <v>15</v>
      </c>
      <c r="F60" s="90">
        <v>245.26</v>
      </c>
      <c r="G60" s="91">
        <v>0</v>
      </c>
      <c r="H60" s="92">
        <f>F60*G60</f>
        <v>0</v>
      </c>
    </row>
    <row r="61" spans="1:8">
      <c r="A61" s="159"/>
      <c r="B61" s="162"/>
      <c r="C61" s="165"/>
      <c r="D61" s="88" t="s">
        <v>18</v>
      </c>
      <c r="E61" s="89" t="s">
        <v>15</v>
      </c>
      <c r="F61" s="90">
        <v>712.77499999999998</v>
      </c>
      <c r="G61" s="91">
        <v>0</v>
      </c>
      <c r="H61" s="92">
        <f>F61*G61</f>
        <v>0</v>
      </c>
    </row>
    <row r="62" spans="1:8">
      <c r="A62" s="159"/>
      <c r="B62" s="162"/>
      <c r="C62" s="165"/>
      <c r="D62" s="93" t="s">
        <v>19</v>
      </c>
      <c r="E62" s="94"/>
      <c r="F62" s="95">
        <f>F58</f>
        <v>10.55</v>
      </c>
      <c r="G62" s="95"/>
      <c r="H62" s="96">
        <f>H58</f>
        <v>2566580.0515000001</v>
      </c>
    </row>
    <row r="63" spans="1:8" ht="16.5" thickBot="1">
      <c r="A63" s="160"/>
      <c r="B63" s="163"/>
      <c r="C63" s="166"/>
      <c r="D63" s="102" t="s">
        <v>20</v>
      </c>
      <c r="E63" s="103"/>
      <c r="F63" s="99">
        <f>F59+F60+F61</f>
        <v>3993.7710000000002</v>
      </c>
      <c r="G63" s="100"/>
      <c r="H63" s="101">
        <f>H59+H60+H61</f>
        <v>0</v>
      </c>
    </row>
    <row r="64" spans="1:8" ht="16.5" customHeight="1">
      <c r="A64" s="158">
        <v>11</v>
      </c>
      <c r="B64" s="161" t="s">
        <v>30</v>
      </c>
      <c r="C64" s="164" t="s">
        <v>11</v>
      </c>
      <c r="D64" s="84" t="s">
        <v>12</v>
      </c>
      <c r="E64" s="85" t="s">
        <v>13</v>
      </c>
      <c r="F64" s="86">
        <v>10.55</v>
      </c>
      <c r="G64" s="86">
        <v>243277.73</v>
      </c>
      <c r="H64" s="87">
        <f>F64*G64</f>
        <v>2566580.0515000001</v>
      </c>
    </row>
    <row r="65" spans="1:10" ht="25.5">
      <c r="A65" s="159"/>
      <c r="B65" s="162"/>
      <c r="C65" s="165"/>
      <c r="D65" s="88" t="s">
        <v>16</v>
      </c>
      <c r="E65" s="89" t="s">
        <v>15</v>
      </c>
      <c r="F65" s="90">
        <v>4182.5519999999997</v>
      </c>
      <c r="G65" s="91">
        <v>0</v>
      </c>
      <c r="H65" s="92">
        <f>F65*G65</f>
        <v>0</v>
      </c>
    </row>
    <row r="66" spans="1:10" ht="25.5">
      <c r="A66" s="159"/>
      <c r="B66" s="162"/>
      <c r="C66" s="165"/>
      <c r="D66" s="88" t="s">
        <v>17</v>
      </c>
      <c r="E66" s="89" t="s">
        <v>15</v>
      </c>
      <c r="F66" s="90">
        <v>235.63200000000001</v>
      </c>
      <c r="G66" s="91">
        <v>0</v>
      </c>
      <c r="H66" s="92">
        <f>F66*G66</f>
        <v>0</v>
      </c>
    </row>
    <row r="67" spans="1:10">
      <c r="A67" s="159"/>
      <c r="B67" s="162"/>
      <c r="C67" s="165"/>
      <c r="D67" s="88" t="s">
        <v>18</v>
      </c>
      <c r="E67" s="89" t="s">
        <v>15</v>
      </c>
      <c r="F67" s="90">
        <v>740.11300000000006</v>
      </c>
      <c r="G67" s="91">
        <v>0</v>
      </c>
      <c r="H67" s="92">
        <f>F67*G67</f>
        <v>0</v>
      </c>
    </row>
    <row r="68" spans="1:10">
      <c r="A68" s="159"/>
      <c r="B68" s="162"/>
      <c r="C68" s="165"/>
      <c r="D68" s="93" t="s">
        <v>19</v>
      </c>
      <c r="E68" s="94"/>
      <c r="F68" s="95">
        <f>F64</f>
        <v>10.55</v>
      </c>
      <c r="G68" s="95"/>
      <c r="H68" s="96">
        <f>H64</f>
        <v>2566580.0515000001</v>
      </c>
    </row>
    <row r="69" spans="1:10" ht="16.5" thickBot="1">
      <c r="A69" s="160"/>
      <c r="B69" s="163"/>
      <c r="C69" s="166"/>
      <c r="D69" s="102" t="s">
        <v>20</v>
      </c>
      <c r="E69" s="103"/>
      <c r="F69" s="99">
        <f>F65+F66+F67</f>
        <v>5158.2969999999996</v>
      </c>
      <c r="G69" s="100"/>
      <c r="H69" s="101">
        <f>H65+H66+H67</f>
        <v>0</v>
      </c>
    </row>
    <row r="70" spans="1:10" ht="16.5" customHeight="1">
      <c r="A70" s="158">
        <v>12</v>
      </c>
      <c r="B70" s="161" t="s">
        <v>31</v>
      </c>
      <c r="C70" s="164" t="s">
        <v>11</v>
      </c>
      <c r="D70" s="84" t="s">
        <v>12</v>
      </c>
      <c r="E70" s="85" t="s">
        <v>13</v>
      </c>
      <c r="F70" s="86">
        <v>10.55</v>
      </c>
      <c r="G70" s="86">
        <v>243277.73</v>
      </c>
      <c r="H70" s="87">
        <f>F70*G70</f>
        <v>2566580.0515000001</v>
      </c>
    </row>
    <row r="71" spans="1:10" ht="25.5">
      <c r="A71" s="159"/>
      <c r="B71" s="162"/>
      <c r="C71" s="165"/>
      <c r="D71" s="88" t="s">
        <v>16</v>
      </c>
      <c r="E71" s="89" t="s">
        <v>15</v>
      </c>
      <c r="F71" s="90">
        <v>4698.7190000000001</v>
      </c>
      <c r="G71" s="91">
        <v>0</v>
      </c>
      <c r="H71" s="92">
        <f>F71*G71</f>
        <v>0</v>
      </c>
    </row>
    <row r="72" spans="1:10" ht="25.5">
      <c r="A72" s="159"/>
      <c r="B72" s="162"/>
      <c r="C72" s="165"/>
      <c r="D72" s="88" t="s">
        <v>17</v>
      </c>
      <c r="E72" s="89" t="s">
        <v>15</v>
      </c>
      <c r="F72" s="90">
        <v>221.22800000000001</v>
      </c>
      <c r="G72" s="91">
        <v>0</v>
      </c>
      <c r="H72" s="92">
        <f>F72*G72</f>
        <v>0</v>
      </c>
    </row>
    <row r="73" spans="1:10">
      <c r="A73" s="159"/>
      <c r="B73" s="162"/>
      <c r="C73" s="165"/>
      <c r="D73" s="88" t="s">
        <v>18</v>
      </c>
      <c r="E73" s="89" t="s">
        <v>15</v>
      </c>
      <c r="F73" s="90">
        <v>787.76700000000005</v>
      </c>
      <c r="G73" s="91">
        <v>0</v>
      </c>
      <c r="H73" s="92">
        <f>F73*G73</f>
        <v>0</v>
      </c>
    </row>
    <row r="74" spans="1:10">
      <c r="A74" s="159"/>
      <c r="B74" s="162"/>
      <c r="C74" s="165"/>
      <c r="D74" s="93" t="s">
        <v>19</v>
      </c>
      <c r="E74" s="94"/>
      <c r="F74" s="95">
        <f>F70</f>
        <v>10.55</v>
      </c>
      <c r="G74" s="95"/>
      <c r="H74" s="96">
        <f>H70</f>
        <v>2566580.0515000001</v>
      </c>
    </row>
    <row r="75" spans="1:10" ht="16.5" thickBot="1">
      <c r="A75" s="160"/>
      <c r="B75" s="163"/>
      <c r="C75" s="166"/>
      <c r="D75" s="102" t="s">
        <v>20</v>
      </c>
      <c r="E75" s="103"/>
      <c r="F75" s="99">
        <f>F71+F72+F73</f>
        <v>5707.7139999999999</v>
      </c>
      <c r="G75" s="100"/>
      <c r="H75" s="101">
        <f>H71+H72+H73</f>
        <v>0</v>
      </c>
    </row>
    <row r="76" spans="1:10">
      <c r="A76" s="158">
        <v>13</v>
      </c>
      <c r="B76" s="161">
        <v>2016</v>
      </c>
      <c r="C76" s="164" t="s">
        <v>11</v>
      </c>
      <c r="D76" s="84" t="s">
        <v>12</v>
      </c>
      <c r="E76" s="85" t="s">
        <v>13</v>
      </c>
      <c r="F76" s="86">
        <v>10.55</v>
      </c>
      <c r="G76" s="86">
        <v>243277.73</v>
      </c>
      <c r="H76" s="87">
        <f>F76*G76*12</f>
        <v>30798960.618000001</v>
      </c>
      <c r="J76" s="46"/>
    </row>
    <row r="77" spans="1:10" ht="25.5">
      <c r="A77" s="159"/>
      <c r="B77" s="162"/>
      <c r="C77" s="165"/>
      <c r="D77" s="88" t="s">
        <v>16</v>
      </c>
      <c r="E77" s="89" t="s">
        <v>15</v>
      </c>
      <c r="F77" s="90">
        <f>F5+F11+F17+F23+F29+F35+F41+F47+F53+F59+F65+F71</f>
        <v>47288.909999999989</v>
      </c>
      <c r="G77" s="91">
        <v>0</v>
      </c>
      <c r="H77" s="92">
        <f>H5+H11+H17+H23+H29+H35+H41+H47+H53+H59+H65+H71</f>
        <v>0</v>
      </c>
    </row>
    <row r="78" spans="1:10" ht="25.5">
      <c r="A78" s="159"/>
      <c r="B78" s="162"/>
      <c r="C78" s="165"/>
      <c r="D78" s="88" t="s">
        <v>17</v>
      </c>
      <c r="E78" s="89" t="s">
        <v>15</v>
      </c>
      <c r="F78" s="90">
        <f>F6+F12+F18+F24+F30+F36+F42+F48+F54+F60+F66+F72</f>
        <v>3097.547</v>
      </c>
      <c r="G78" s="91">
        <v>0</v>
      </c>
      <c r="H78" s="92">
        <f>H6+H12+H18+H24+H30+H36+H42+H48+H54+H60+H66+H72</f>
        <v>0</v>
      </c>
    </row>
    <row r="79" spans="1:10">
      <c r="A79" s="159"/>
      <c r="B79" s="162"/>
      <c r="C79" s="165"/>
      <c r="D79" s="88" t="s">
        <v>18</v>
      </c>
      <c r="E79" s="89" t="s">
        <v>15</v>
      </c>
      <c r="F79" s="90">
        <f>F7+F13+F19+F25+F31+F37+F43+F49+F55+F61+F67+F73</f>
        <v>7924.9540000000006</v>
      </c>
      <c r="G79" s="91">
        <v>0</v>
      </c>
      <c r="H79" s="92">
        <f>H7+H13+H19+H25+H31+H37+H43+H49+H55+H61+H67+H73</f>
        <v>0</v>
      </c>
    </row>
    <row r="80" spans="1:10">
      <c r="A80" s="159"/>
      <c r="B80" s="162"/>
      <c r="C80" s="165"/>
      <c r="D80" s="93" t="s">
        <v>19</v>
      </c>
      <c r="E80" s="94"/>
      <c r="F80" s="95">
        <f>F76</f>
        <v>10.55</v>
      </c>
      <c r="G80" s="95"/>
      <c r="H80" s="96">
        <f>H76</f>
        <v>30798960.618000001</v>
      </c>
    </row>
    <row r="81" spans="1:8" ht="16.5" thickBot="1">
      <c r="A81" s="160"/>
      <c r="B81" s="163"/>
      <c r="C81" s="166"/>
      <c r="D81" s="102" t="s">
        <v>20</v>
      </c>
      <c r="E81" s="103"/>
      <c r="F81" s="104">
        <f>F77+F78+F79</f>
        <v>58311.410999999986</v>
      </c>
      <c r="G81" s="105"/>
      <c r="H81" s="106">
        <f>H77+H78+H79</f>
        <v>0</v>
      </c>
    </row>
    <row r="82" spans="1:8">
      <c r="A82" s="50"/>
      <c r="B82" s="50"/>
      <c r="C82" s="51"/>
      <c r="D82" s="52"/>
      <c r="E82" s="53"/>
      <c r="F82" s="54"/>
      <c r="G82" s="55"/>
      <c r="H82" s="55"/>
    </row>
    <row r="83" spans="1:8" s="56" customFormat="1" ht="18.75">
      <c r="E83" s="57"/>
    </row>
    <row r="84" spans="1:8" s="56" customFormat="1" ht="18.75">
      <c r="B84" s="56" t="s">
        <v>51</v>
      </c>
      <c r="E84" s="57"/>
      <c r="F84" s="56" t="s">
        <v>33</v>
      </c>
    </row>
    <row r="85" spans="1:8" s="56" customFormat="1" ht="18.75">
      <c r="E85" s="57"/>
    </row>
    <row r="86" spans="1:8" s="56" customFormat="1" ht="18.75">
      <c r="B86" s="56" t="s">
        <v>34</v>
      </c>
      <c r="E86" s="57"/>
      <c r="F86" s="56" t="s">
        <v>35</v>
      </c>
    </row>
  </sheetData>
  <mergeCells count="41">
    <mergeCell ref="A10:A15"/>
    <mergeCell ref="B10:B15"/>
    <mergeCell ref="C10:C15"/>
    <mergeCell ref="A1:H1"/>
    <mergeCell ref="J3:L3"/>
    <mergeCell ref="A4:A9"/>
    <mergeCell ref="B4:B9"/>
    <mergeCell ref="C4:C9"/>
    <mergeCell ref="A16:A21"/>
    <mergeCell ref="B16:B21"/>
    <mergeCell ref="C16:C21"/>
    <mergeCell ref="A22:A27"/>
    <mergeCell ref="B22:B27"/>
    <mergeCell ref="C22:C27"/>
    <mergeCell ref="A28:A33"/>
    <mergeCell ref="B28:B33"/>
    <mergeCell ref="C28:C33"/>
    <mergeCell ref="A34:A39"/>
    <mergeCell ref="B34:B39"/>
    <mergeCell ref="C34:C39"/>
    <mergeCell ref="A40:A45"/>
    <mergeCell ref="B40:B45"/>
    <mergeCell ref="C40:C45"/>
    <mergeCell ref="A46:A51"/>
    <mergeCell ref="B46:B51"/>
    <mergeCell ref="C46:C51"/>
    <mergeCell ref="A52:A57"/>
    <mergeCell ref="B52:B57"/>
    <mergeCell ref="C52:C57"/>
    <mergeCell ref="A58:A63"/>
    <mergeCell ref="B58:B63"/>
    <mergeCell ref="C58:C63"/>
    <mergeCell ref="A76:A81"/>
    <mergeCell ref="B76:B81"/>
    <mergeCell ref="C76:C81"/>
    <mergeCell ref="A64:A69"/>
    <mergeCell ref="B64:B69"/>
    <mergeCell ref="C64:C69"/>
    <mergeCell ref="A70:A75"/>
    <mergeCell ref="B70:B75"/>
    <mergeCell ref="C70:C7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6"/>
  <sheetViews>
    <sheetView workbookViewId="0">
      <selection activeCell="J12" sqref="J12"/>
    </sheetView>
  </sheetViews>
  <sheetFormatPr defaultRowHeight="15.75"/>
  <cols>
    <col min="1" max="1" width="5.5703125" style="2" customWidth="1"/>
    <col min="2" max="2" width="10.28515625" style="2" customWidth="1"/>
    <col min="3" max="3" width="17.140625" style="2" customWidth="1"/>
    <col min="4" max="4" width="43.28515625" style="2" customWidth="1"/>
    <col min="5" max="5" width="15" style="3" customWidth="1"/>
    <col min="6" max="6" width="18.28515625" style="2" customWidth="1"/>
    <col min="7" max="7" width="15.28515625" style="2" customWidth="1"/>
    <col min="8" max="8" width="19.85546875" style="2" customWidth="1"/>
    <col min="9" max="9" width="9.140625" style="2"/>
    <col min="10" max="10" width="17.5703125" style="2" customWidth="1"/>
    <col min="11" max="256" width="9.140625" style="2"/>
    <col min="257" max="257" width="5.5703125" style="2" customWidth="1"/>
    <col min="258" max="258" width="10.28515625" style="2" customWidth="1"/>
    <col min="259" max="259" width="17.140625" style="2" customWidth="1"/>
    <col min="260" max="260" width="43.28515625" style="2" customWidth="1"/>
    <col min="261" max="261" width="15" style="2" customWidth="1"/>
    <col min="262" max="262" width="18.28515625" style="2" customWidth="1"/>
    <col min="263" max="263" width="15.28515625" style="2" customWidth="1"/>
    <col min="264" max="264" width="19.85546875" style="2" customWidth="1"/>
    <col min="265" max="265" width="9.140625" style="2"/>
    <col min="266" max="266" width="17.5703125" style="2" customWidth="1"/>
    <col min="267" max="512" width="9.140625" style="2"/>
    <col min="513" max="513" width="5.5703125" style="2" customWidth="1"/>
    <col min="514" max="514" width="10.28515625" style="2" customWidth="1"/>
    <col min="515" max="515" width="17.140625" style="2" customWidth="1"/>
    <col min="516" max="516" width="43.28515625" style="2" customWidth="1"/>
    <col min="517" max="517" width="15" style="2" customWidth="1"/>
    <col min="518" max="518" width="18.28515625" style="2" customWidth="1"/>
    <col min="519" max="519" width="15.28515625" style="2" customWidth="1"/>
    <col min="520" max="520" width="19.85546875" style="2" customWidth="1"/>
    <col min="521" max="521" width="9.140625" style="2"/>
    <col min="522" max="522" width="17.5703125" style="2" customWidth="1"/>
    <col min="523" max="768" width="9.140625" style="2"/>
    <col min="769" max="769" width="5.5703125" style="2" customWidth="1"/>
    <col min="770" max="770" width="10.28515625" style="2" customWidth="1"/>
    <col min="771" max="771" width="17.140625" style="2" customWidth="1"/>
    <col min="772" max="772" width="43.28515625" style="2" customWidth="1"/>
    <col min="773" max="773" width="15" style="2" customWidth="1"/>
    <col min="774" max="774" width="18.28515625" style="2" customWidth="1"/>
    <col min="775" max="775" width="15.28515625" style="2" customWidth="1"/>
    <col min="776" max="776" width="19.85546875" style="2" customWidth="1"/>
    <col min="777" max="777" width="9.140625" style="2"/>
    <col min="778" max="778" width="17.5703125" style="2" customWidth="1"/>
    <col min="779" max="1024" width="9.140625" style="2"/>
    <col min="1025" max="1025" width="5.5703125" style="2" customWidth="1"/>
    <col min="1026" max="1026" width="10.28515625" style="2" customWidth="1"/>
    <col min="1027" max="1027" width="17.140625" style="2" customWidth="1"/>
    <col min="1028" max="1028" width="43.28515625" style="2" customWidth="1"/>
    <col min="1029" max="1029" width="15" style="2" customWidth="1"/>
    <col min="1030" max="1030" width="18.28515625" style="2" customWidth="1"/>
    <col min="1031" max="1031" width="15.28515625" style="2" customWidth="1"/>
    <col min="1032" max="1032" width="19.85546875" style="2" customWidth="1"/>
    <col min="1033" max="1033" width="9.140625" style="2"/>
    <col min="1034" max="1034" width="17.5703125" style="2" customWidth="1"/>
    <col min="1035" max="1280" width="9.140625" style="2"/>
    <col min="1281" max="1281" width="5.5703125" style="2" customWidth="1"/>
    <col min="1282" max="1282" width="10.28515625" style="2" customWidth="1"/>
    <col min="1283" max="1283" width="17.140625" style="2" customWidth="1"/>
    <col min="1284" max="1284" width="43.28515625" style="2" customWidth="1"/>
    <col min="1285" max="1285" width="15" style="2" customWidth="1"/>
    <col min="1286" max="1286" width="18.28515625" style="2" customWidth="1"/>
    <col min="1287" max="1287" width="15.28515625" style="2" customWidth="1"/>
    <col min="1288" max="1288" width="19.85546875" style="2" customWidth="1"/>
    <col min="1289" max="1289" width="9.140625" style="2"/>
    <col min="1290" max="1290" width="17.5703125" style="2" customWidth="1"/>
    <col min="1291" max="1536" width="9.140625" style="2"/>
    <col min="1537" max="1537" width="5.5703125" style="2" customWidth="1"/>
    <col min="1538" max="1538" width="10.28515625" style="2" customWidth="1"/>
    <col min="1539" max="1539" width="17.140625" style="2" customWidth="1"/>
    <col min="1540" max="1540" width="43.28515625" style="2" customWidth="1"/>
    <col min="1541" max="1541" width="15" style="2" customWidth="1"/>
    <col min="1542" max="1542" width="18.28515625" style="2" customWidth="1"/>
    <col min="1543" max="1543" width="15.28515625" style="2" customWidth="1"/>
    <col min="1544" max="1544" width="19.85546875" style="2" customWidth="1"/>
    <col min="1545" max="1545" width="9.140625" style="2"/>
    <col min="1546" max="1546" width="17.5703125" style="2" customWidth="1"/>
    <col min="1547" max="1792" width="9.140625" style="2"/>
    <col min="1793" max="1793" width="5.5703125" style="2" customWidth="1"/>
    <col min="1794" max="1794" width="10.28515625" style="2" customWidth="1"/>
    <col min="1795" max="1795" width="17.140625" style="2" customWidth="1"/>
    <col min="1796" max="1796" width="43.28515625" style="2" customWidth="1"/>
    <col min="1797" max="1797" width="15" style="2" customWidth="1"/>
    <col min="1798" max="1798" width="18.28515625" style="2" customWidth="1"/>
    <col min="1799" max="1799" width="15.28515625" style="2" customWidth="1"/>
    <col min="1800" max="1800" width="19.85546875" style="2" customWidth="1"/>
    <col min="1801" max="1801" width="9.140625" style="2"/>
    <col min="1802" max="1802" width="17.5703125" style="2" customWidth="1"/>
    <col min="1803" max="2048" width="9.140625" style="2"/>
    <col min="2049" max="2049" width="5.5703125" style="2" customWidth="1"/>
    <col min="2050" max="2050" width="10.28515625" style="2" customWidth="1"/>
    <col min="2051" max="2051" width="17.140625" style="2" customWidth="1"/>
    <col min="2052" max="2052" width="43.28515625" style="2" customWidth="1"/>
    <col min="2053" max="2053" width="15" style="2" customWidth="1"/>
    <col min="2054" max="2054" width="18.28515625" style="2" customWidth="1"/>
    <col min="2055" max="2055" width="15.28515625" style="2" customWidth="1"/>
    <col min="2056" max="2056" width="19.85546875" style="2" customWidth="1"/>
    <col min="2057" max="2057" width="9.140625" style="2"/>
    <col min="2058" max="2058" width="17.5703125" style="2" customWidth="1"/>
    <col min="2059" max="2304" width="9.140625" style="2"/>
    <col min="2305" max="2305" width="5.5703125" style="2" customWidth="1"/>
    <col min="2306" max="2306" width="10.28515625" style="2" customWidth="1"/>
    <col min="2307" max="2307" width="17.140625" style="2" customWidth="1"/>
    <col min="2308" max="2308" width="43.28515625" style="2" customWidth="1"/>
    <col min="2309" max="2309" width="15" style="2" customWidth="1"/>
    <col min="2310" max="2310" width="18.28515625" style="2" customWidth="1"/>
    <col min="2311" max="2311" width="15.28515625" style="2" customWidth="1"/>
    <col min="2312" max="2312" width="19.85546875" style="2" customWidth="1"/>
    <col min="2313" max="2313" width="9.140625" style="2"/>
    <col min="2314" max="2314" width="17.5703125" style="2" customWidth="1"/>
    <col min="2315" max="2560" width="9.140625" style="2"/>
    <col min="2561" max="2561" width="5.5703125" style="2" customWidth="1"/>
    <col min="2562" max="2562" width="10.28515625" style="2" customWidth="1"/>
    <col min="2563" max="2563" width="17.140625" style="2" customWidth="1"/>
    <col min="2564" max="2564" width="43.28515625" style="2" customWidth="1"/>
    <col min="2565" max="2565" width="15" style="2" customWidth="1"/>
    <col min="2566" max="2566" width="18.28515625" style="2" customWidth="1"/>
    <col min="2567" max="2567" width="15.28515625" style="2" customWidth="1"/>
    <col min="2568" max="2568" width="19.85546875" style="2" customWidth="1"/>
    <col min="2569" max="2569" width="9.140625" style="2"/>
    <col min="2570" max="2570" width="17.5703125" style="2" customWidth="1"/>
    <col min="2571" max="2816" width="9.140625" style="2"/>
    <col min="2817" max="2817" width="5.5703125" style="2" customWidth="1"/>
    <col min="2818" max="2818" width="10.28515625" style="2" customWidth="1"/>
    <col min="2819" max="2819" width="17.140625" style="2" customWidth="1"/>
    <col min="2820" max="2820" width="43.28515625" style="2" customWidth="1"/>
    <col min="2821" max="2821" width="15" style="2" customWidth="1"/>
    <col min="2822" max="2822" width="18.28515625" style="2" customWidth="1"/>
    <col min="2823" max="2823" width="15.28515625" style="2" customWidth="1"/>
    <col min="2824" max="2824" width="19.85546875" style="2" customWidth="1"/>
    <col min="2825" max="2825" width="9.140625" style="2"/>
    <col min="2826" max="2826" width="17.5703125" style="2" customWidth="1"/>
    <col min="2827" max="3072" width="9.140625" style="2"/>
    <col min="3073" max="3073" width="5.5703125" style="2" customWidth="1"/>
    <col min="3074" max="3074" width="10.28515625" style="2" customWidth="1"/>
    <col min="3075" max="3075" width="17.140625" style="2" customWidth="1"/>
    <col min="3076" max="3076" width="43.28515625" style="2" customWidth="1"/>
    <col min="3077" max="3077" width="15" style="2" customWidth="1"/>
    <col min="3078" max="3078" width="18.28515625" style="2" customWidth="1"/>
    <col min="3079" max="3079" width="15.28515625" style="2" customWidth="1"/>
    <col min="3080" max="3080" width="19.85546875" style="2" customWidth="1"/>
    <col min="3081" max="3081" width="9.140625" style="2"/>
    <col min="3082" max="3082" width="17.5703125" style="2" customWidth="1"/>
    <col min="3083" max="3328" width="9.140625" style="2"/>
    <col min="3329" max="3329" width="5.5703125" style="2" customWidth="1"/>
    <col min="3330" max="3330" width="10.28515625" style="2" customWidth="1"/>
    <col min="3331" max="3331" width="17.140625" style="2" customWidth="1"/>
    <col min="3332" max="3332" width="43.28515625" style="2" customWidth="1"/>
    <col min="3333" max="3333" width="15" style="2" customWidth="1"/>
    <col min="3334" max="3334" width="18.28515625" style="2" customWidth="1"/>
    <col min="3335" max="3335" width="15.28515625" style="2" customWidth="1"/>
    <col min="3336" max="3336" width="19.85546875" style="2" customWidth="1"/>
    <col min="3337" max="3337" width="9.140625" style="2"/>
    <col min="3338" max="3338" width="17.5703125" style="2" customWidth="1"/>
    <col min="3339" max="3584" width="9.140625" style="2"/>
    <col min="3585" max="3585" width="5.5703125" style="2" customWidth="1"/>
    <col min="3586" max="3586" width="10.28515625" style="2" customWidth="1"/>
    <col min="3587" max="3587" width="17.140625" style="2" customWidth="1"/>
    <col min="3588" max="3588" width="43.28515625" style="2" customWidth="1"/>
    <col min="3589" max="3589" width="15" style="2" customWidth="1"/>
    <col min="3590" max="3590" width="18.28515625" style="2" customWidth="1"/>
    <col min="3591" max="3591" width="15.28515625" style="2" customWidth="1"/>
    <col min="3592" max="3592" width="19.85546875" style="2" customWidth="1"/>
    <col min="3593" max="3593" width="9.140625" style="2"/>
    <col min="3594" max="3594" width="17.5703125" style="2" customWidth="1"/>
    <col min="3595" max="3840" width="9.140625" style="2"/>
    <col min="3841" max="3841" width="5.5703125" style="2" customWidth="1"/>
    <col min="3842" max="3842" width="10.28515625" style="2" customWidth="1"/>
    <col min="3843" max="3843" width="17.140625" style="2" customWidth="1"/>
    <col min="3844" max="3844" width="43.28515625" style="2" customWidth="1"/>
    <col min="3845" max="3845" width="15" style="2" customWidth="1"/>
    <col min="3846" max="3846" width="18.28515625" style="2" customWidth="1"/>
    <col min="3847" max="3847" width="15.28515625" style="2" customWidth="1"/>
    <col min="3848" max="3848" width="19.85546875" style="2" customWidth="1"/>
    <col min="3849" max="3849" width="9.140625" style="2"/>
    <col min="3850" max="3850" width="17.5703125" style="2" customWidth="1"/>
    <col min="3851" max="4096" width="9.140625" style="2"/>
    <col min="4097" max="4097" width="5.5703125" style="2" customWidth="1"/>
    <col min="4098" max="4098" width="10.28515625" style="2" customWidth="1"/>
    <col min="4099" max="4099" width="17.140625" style="2" customWidth="1"/>
    <col min="4100" max="4100" width="43.28515625" style="2" customWidth="1"/>
    <col min="4101" max="4101" width="15" style="2" customWidth="1"/>
    <col min="4102" max="4102" width="18.28515625" style="2" customWidth="1"/>
    <col min="4103" max="4103" width="15.28515625" style="2" customWidth="1"/>
    <col min="4104" max="4104" width="19.85546875" style="2" customWidth="1"/>
    <col min="4105" max="4105" width="9.140625" style="2"/>
    <col min="4106" max="4106" width="17.5703125" style="2" customWidth="1"/>
    <col min="4107" max="4352" width="9.140625" style="2"/>
    <col min="4353" max="4353" width="5.5703125" style="2" customWidth="1"/>
    <col min="4354" max="4354" width="10.28515625" style="2" customWidth="1"/>
    <col min="4355" max="4355" width="17.140625" style="2" customWidth="1"/>
    <col min="4356" max="4356" width="43.28515625" style="2" customWidth="1"/>
    <col min="4357" max="4357" width="15" style="2" customWidth="1"/>
    <col min="4358" max="4358" width="18.28515625" style="2" customWidth="1"/>
    <col min="4359" max="4359" width="15.28515625" style="2" customWidth="1"/>
    <col min="4360" max="4360" width="19.85546875" style="2" customWidth="1"/>
    <col min="4361" max="4361" width="9.140625" style="2"/>
    <col min="4362" max="4362" width="17.5703125" style="2" customWidth="1"/>
    <col min="4363" max="4608" width="9.140625" style="2"/>
    <col min="4609" max="4609" width="5.5703125" style="2" customWidth="1"/>
    <col min="4610" max="4610" width="10.28515625" style="2" customWidth="1"/>
    <col min="4611" max="4611" width="17.140625" style="2" customWidth="1"/>
    <col min="4612" max="4612" width="43.28515625" style="2" customWidth="1"/>
    <col min="4613" max="4613" width="15" style="2" customWidth="1"/>
    <col min="4614" max="4614" width="18.28515625" style="2" customWidth="1"/>
    <col min="4615" max="4615" width="15.28515625" style="2" customWidth="1"/>
    <col min="4616" max="4616" width="19.85546875" style="2" customWidth="1"/>
    <col min="4617" max="4617" width="9.140625" style="2"/>
    <col min="4618" max="4618" width="17.5703125" style="2" customWidth="1"/>
    <col min="4619" max="4864" width="9.140625" style="2"/>
    <col min="4865" max="4865" width="5.5703125" style="2" customWidth="1"/>
    <col min="4866" max="4866" width="10.28515625" style="2" customWidth="1"/>
    <col min="4867" max="4867" width="17.140625" style="2" customWidth="1"/>
    <col min="4868" max="4868" width="43.28515625" style="2" customWidth="1"/>
    <col min="4869" max="4869" width="15" style="2" customWidth="1"/>
    <col min="4870" max="4870" width="18.28515625" style="2" customWidth="1"/>
    <col min="4871" max="4871" width="15.28515625" style="2" customWidth="1"/>
    <col min="4872" max="4872" width="19.85546875" style="2" customWidth="1"/>
    <col min="4873" max="4873" width="9.140625" style="2"/>
    <col min="4874" max="4874" width="17.5703125" style="2" customWidth="1"/>
    <col min="4875" max="5120" width="9.140625" style="2"/>
    <col min="5121" max="5121" width="5.5703125" style="2" customWidth="1"/>
    <col min="5122" max="5122" width="10.28515625" style="2" customWidth="1"/>
    <col min="5123" max="5123" width="17.140625" style="2" customWidth="1"/>
    <col min="5124" max="5124" width="43.28515625" style="2" customWidth="1"/>
    <col min="5125" max="5125" width="15" style="2" customWidth="1"/>
    <col min="5126" max="5126" width="18.28515625" style="2" customWidth="1"/>
    <col min="5127" max="5127" width="15.28515625" style="2" customWidth="1"/>
    <col min="5128" max="5128" width="19.85546875" style="2" customWidth="1"/>
    <col min="5129" max="5129" width="9.140625" style="2"/>
    <col min="5130" max="5130" width="17.5703125" style="2" customWidth="1"/>
    <col min="5131" max="5376" width="9.140625" style="2"/>
    <col min="5377" max="5377" width="5.5703125" style="2" customWidth="1"/>
    <col min="5378" max="5378" width="10.28515625" style="2" customWidth="1"/>
    <col min="5379" max="5379" width="17.140625" style="2" customWidth="1"/>
    <col min="5380" max="5380" width="43.28515625" style="2" customWidth="1"/>
    <col min="5381" max="5381" width="15" style="2" customWidth="1"/>
    <col min="5382" max="5382" width="18.28515625" style="2" customWidth="1"/>
    <col min="5383" max="5383" width="15.28515625" style="2" customWidth="1"/>
    <col min="5384" max="5384" width="19.85546875" style="2" customWidth="1"/>
    <col min="5385" max="5385" width="9.140625" style="2"/>
    <col min="5386" max="5386" width="17.5703125" style="2" customWidth="1"/>
    <col min="5387" max="5632" width="9.140625" style="2"/>
    <col min="5633" max="5633" width="5.5703125" style="2" customWidth="1"/>
    <col min="5634" max="5634" width="10.28515625" style="2" customWidth="1"/>
    <col min="5635" max="5635" width="17.140625" style="2" customWidth="1"/>
    <col min="5636" max="5636" width="43.28515625" style="2" customWidth="1"/>
    <col min="5637" max="5637" width="15" style="2" customWidth="1"/>
    <col min="5638" max="5638" width="18.28515625" style="2" customWidth="1"/>
    <col min="5639" max="5639" width="15.28515625" style="2" customWidth="1"/>
    <col min="5640" max="5640" width="19.85546875" style="2" customWidth="1"/>
    <col min="5641" max="5641" width="9.140625" style="2"/>
    <col min="5642" max="5642" width="17.5703125" style="2" customWidth="1"/>
    <col min="5643" max="5888" width="9.140625" style="2"/>
    <col min="5889" max="5889" width="5.5703125" style="2" customWidth="1"/>
    <col min="5890" max="5890" width="10.28515625" style="2" customWidth="1"/>
    <col min="5891" max="5891" width="17.140625" style="2" customWidth="1"/>
    <col min="5892" max="5892" width="43.28515625" style="2" customWidth="1"/>
    <col min="5893" max="5893" width="15" style="2" customWidth="1"/>
    <col min="5894" max="5894" width="18.28515625" style="2" customWidth="1"/>
    <col min="5895" max="5895" width="15.28515625" style="2" customWidth="1"/>
    <col min="5896" max="5896" width="19.85546875" style="2" customWidth="1"/>
    <col min="5897" max="5897" width="9.140625" style="2"/>
    <col min="5898" max="5898" width="17.5703125" style="2" customWidth="1"/>
    <col min="5899" max="6144" width="9.140625" style="2"/>
    <col min="6145" max="6145" width="5.5703125" style="2" customWidth="1"/>
    <col min="6146" max="6146" width="10.28515625" style="2" customWidth="1"/>
    <col min="6147" max="6147" width="17.140625" style="2" customWidth="1"/>
    <col min="6148" max="6148" width="43.28515625" style="2" customWidth="1"/>
    <col min="6149" max="6149" width="15" style="2" customWidth="1"/>
    <col min="6150" max="6150" width="18.28515625" style="2" customWidth="1"/>
    <col min="6151" max="6151" width="15.28515625" style="2" customWidth="1"/>
    <col min="6152" max="6152" width="19.85546875" style="2" customWidth="1"/>
    <col min="6153" max="6153" width="9.140625" style="2"/>
    <col min="6154" max="6154" width="17.5703125" style="2" customWidth="1"/>
    <col min="6155" max="6400" width="9.140625" style="2"/>
    <col min="6401" max="6401" width="5.5703125" style="2" customWidth="1"/>
    <col min="6402" max="6402" width="10.28515625" style="2" customWidth="1"/>
    <col min="6403" max="6403" width="17.140625" style="2" customWidth="1"/>
    <col min="6404" max="6404" width="43.28515625" style="2" customWidth="1"/>
    <col min="6405" max="6405" width="15" style="2" customWidth="1"/>
    <col min="6406" max="6406" width="18.28515625" style="2" customWidth="1"/>
    <col min="6407" max="6407" width="15.28515625" style="2" customWidth="1"/>
    <col min="6408" max="6408" width="19.85546875" style="2" customWidth="1"/>
    <col min="6409" max="6409" width="9.140625" style="2"/>
    <col min="6410" max="6410" width="17.5703125" style="2" customWidth="1"/>
    <col min="6411" max="6656" width="9.140625" style="2"/>
    <col min="6657" max="6657" width="5.5703125" style="2" customWidth="1"/>
    <col min="6658" max="6658" width="10.28515625" style="2" customWidth="1"/>
    <col min="6659" max="6659" width="17.140625" style="2" customWidth="1"/>
    <col min="6660" max="6660" width="43.28515625" style="2" customWidth="1"/>
    <col min="6661" max="6661" width="15" style="2" customWidth="1"/>
    <col min="6662" max="6662" width="18.28515625" style="2" customWidth="1"/>
    <col min="6663" max="6663" width="15.28515625" style="2" customWidth="1"/>
    <col min="6664" max="6664" width="19.85546875" style="2" customWidth="1"/>
    <col min="6665" max="6665" width="9.140625" style="2"/>
    <col min="6666" max="6666" width="17.5703125" style="2" customWidth="1"/>
    <col min="6667" max="6912" width="9.140625" style="2"/>
    <col min="6913" max="6913" width="5.5703125" style="2" customWidth="1"/>
    <col min="6914" max="6914" width="10.28515625" style="2" customWidth="1"/>
    <col min="6915" max="6915" width="17.140625" style="2" customWidth="1"/>
    <col min="6916" max="6916" width="43.28515625" style="2" customWidth="1"/>
    <col min="6917" max="6917" width="15" style="2" customWidth="1"/>
    <col min="6918" max="6918" width="18.28515625" style="2" customWidth="1"/>
    <col min="6919" max="6919" width="15.28515625" style="2" customWidth="1"/>
    <col min="6920" max="6920" width="19.85546875" style="2" customWidth="1"/>
    <col min="6921" max="6921" width="9.140625" style="2"/>
    <col min="6922" max="6922" width="17.5703125" style="2" customWidth="1"/>
    <col min="6923" max="7168" width="9.140625" style="2"/>
    <col min="7169" max="7169" width="5.5703125" style="2" customWidth="1"/>
    <col min="7170" max="7170" width="10.28515625" style="2" customWidth="1"/>
    <col min="7171" max="7171" width="17.140625" style="2" customWidth="1"/>
    <col min="7172" max="7172" width="43.28515625" style="2" customWidth="1"/>
    <col min="7173" max="7173" width="15" style="2" customWidth="1"/>
    <col min="7174" max="7174" width="18.28515625" style="2" customWidth="1"/>
    <col min="7175" max="7175" width="15.28515625" style="2" customWidth="1"/>
    <col min="7176" max="7176" width="19.85546875" style="2" customWidth="1"/>
    <col min="7177" max="7177" width="9.140625" style="2"/>
    <col min="7178" max="7178" width="17.5703125" style="2" customWidth="1"/>
    <col min="7179" max="7424" width="9.140625" style="2"/>
    <col min="7425" max="7425" width="5.5703125" style="2" customWidth="1"/>
    <col min="7426" max="7426" width="10.28515625" style="2" customWidth="1"/>
    <col min="7427" max="7427" width="17.140625" style="2" customWidth="1"/>
    <col min="7428" max="7428" width="43.28515625" style="2" customWidth="1"/>
    <col min="7429" max="7429" width="15" style="2" customWidth="1"/>
    <col min="7430" max="7430" width="18.28515625" style="2" customWidth="1"/>
    <col min="7431" max="7431" width="15.28515625" style="2" customWidth="1"/>
    <col min="7432" max="7432" width="19.85546875" style="2" customWidth="1"/>
    <col min="7433" max="7433" width="9.140625" style="2"/>
    <col min="7434" max="7434" width="17.5703125" style="2" customWidth="1"/>
    <col min="7435" max="7680" width="9.140625" style="2"/>
    <col min="7681" max="7681" width="5.5703125" style="2" customWidth="1"/>
    <col min="7682" max="7682" width="10.28515625" style="2" customWidth="1"/>
    <col min="7683" max="7683" width="17.140625" style="2" customWidth="1"/>
    <col min="7684" max="7684" width="43.28515625" style="2" customWidth="1"/>
    <col min="7685" max="7685" width="15" style="2" customWidth="1"/>
    <col min="7686" max="7686" width="18.28515625" style="2" customWidth="1"/>
    <col min="7687" max="7687" width="15.28515625" style="2" customWidth="1"/>
    <col min="7688" max="7688" width="19.85546875" style="2" customWidth="1"/>
    <col min="7689" max="7689" width="9.140625" style="2"/>
    <col min="7690" max="7690" width="17.5703125" style="2" customWidth="1"/>
    <col min="7691" max="7936" width="9.140625" style="2"/>
    <col min="7937" max="7937" width="5.5703125" style="2" customWidth="1"/>
    <col min="7938" max="7938" width="10.28515625" style="2" customWidth="1"/>
    <col min="7939" max="7939" width="17.140625" style="2" customWidth="1"/>
    <col min="7940" max="7940" width="43.28515625" style="2" customWidth="1"/>
    <col min="7941" max="7941" width="15" style="2" customWidth="1"/>
    <col min="7942" max="7942" width="18.28515625" style="2" customWidth="1"/>
    <col min="7943" max="7943" width="15.28515625" style="2" customWidth="1"/>
    <col min="7944" max="7944" width="19.85546875" style="2" customWidth="1"/>
    <col min="7945" max="7945" width="9.140625" style="2"/>
    <col min="7946" max="7946" width="17.5703125" style="2" customWidth="1"/>
    <col min="7947" max="8192" width="9.140625" style="2"/>
    <col min="8193" max="8193" width="5.5703125" style="2" customWidth="1"/>
    <col min="8194" max="8194" width="10.28515625" style="2" customWidth="1"/>
    <col min="8195" max="8195" width="17.140625" style="2" customWidth="1"/>
    <col min="8196" max="8196" width="43.28515625" style="2" customWidth="1"/>
    <col min="8197" max="8197" width="15" style="2" customWidth="1"/>
    <col min="8198" max="8198" width="18.28515625" style="2" customWidth="1"/>
    <col min="8199" max="8199" width="15.28515625" style="2" customWidth="1"/>
    <col min="8200" max="8200" width="19.85546875" style="2" customWidth="1"/>
    <col min="8201" max="8201" width="9.140625" style="2"/>
    <col min="8202" max="8202" width="17.5703125" style="2" customWidth="1"/>
    <col min="8203" max="8448" width="9.140625" style="2"/>
    <col min="8449" max="8449" width="5.5703125" style="2" customWidth="1"/>
    <col min="8450" max="8450" width="10.28515625" style="2" customWidth="1"/>
    <col min="8451" max="8451" width="17.140625" style="2" customWidth="1"/>
    <col min="8452" max="8452" width="43.28515625" style="2" customWidth="1"/>
    <col min="8453" max="8453" width="15" style="2" customWidth="1"/>
    <col min="8454" max="8454" width="18.28515625" style="2" customWidth="1"/>
    <col min="8455" max="8455" width="15.28515625" style="2" customWidth="1"/>
    <col min="8456" max="8456" width="19.85546875" style="2" customWidth="1"/>
    <col min="8457" max="8457" width="9.140625" style="2"/>
    <col min="8458" max="8458" width="17.5703125" style="2" customWidth="1"/>
    <col min="8459" max="8704" width="9.140625" style="2"/>
    <col min="8705" max="8705" width="5.5703125" style="2" customWidth="1"/>
    <col min="8706" max="8706" width="10.28515625" style="2" customWidth="1"/>
    <col min="8707" max="8707" width="17.140625" style="2" customWidth="1"/>
    <col min="8708" max="8708" width="43.28515625" style="2" customWidth="1"/>
    <col min="8709" max="8709" width="15" style="2" customWidth="1"/>
    <col min="8710" max="8710" width="18.28515625" style="2" customWidth="1"/>
    <col min="8711" max="8711" width="15.28515625" style="2" customWidth="1"/>
    <col min="8712" max="8712" width="19.85546875" style="2" customWidth="1"/>
    <col min="8713" max="8713" width="9.140625" style="2"/>
    <col min="8714" max="8714" width="17.5703125" style="2" customWidth="1"/>
    <col min="8715" max="8960" width="9.140625" style="2"/>
    <col min="8961" max="8961" width="5.5703125" style="2" customWidth="1"/>
    <col min="8962" max="8962" width="10.28515625" style="2" customWidth="1"/>
    <col min="8963" max="8963" width="17.140625" style="2" customWidth="1"/>
    <col min="8964" max="8964" width="43.28515625" style="2" customWidth="1"/>
    <col min="8965" max="8965" width="15" style="2" customWidth="1"/>
    <col min="8966" max="8966" width="18.28515625" style="2" customWidth="1"/>
    <col min="8967" max="8967" width="15.28515625" style="2" customWidth="1"/>
    <col min="8968" max="8968" width="19.85546875" style="2" customWidth="1"/>
    <col min="8969" max="8969" width="9.140625" style="2"/>
    <col min="8970" max="8970" width="17.5703125" style="2" customWidth="1"/>
    <col min="8971" max="9216" width="9.140625" style="2"/>
    <col min="9217" max="9217" width="5.5703125" style="2" customWidth="1"/>
    <col min="9218" max="9218" width="10.28515625" style="2" customWidth="1"/>
    <col min="9219" max="9219" width="17.140625" style="2" customWidth="1"/>
    <col min="9220" max="9220" width="43.28515625" style="2" customWidth="1"/>
    <col min="9221" max="9221" width="15" style="2" customWidth="1"/>
    <col min="9222" max="9222" width="18.28515625" style="2" customWidth="1"/>
    <col min="9223" max="9223" width="15.28515625" style="2" customWidth="1"/>
    <col min="9224" max="9224" width="19.85546875" style="2" customWidth="1"/>
    <col min="9225" max="9225" width="9.140625" style="2"/>
    <col min="9226" max="9226" width="17.5703125" style="2" customWidth="1"/>
    <col min="9227" max="9472" width="9.140625" style="2"/>
    <col min="9473" max="9473" width="5.5703125" style="2" customWidth="1"/>
    <col min="9474" max="9474" width="10.28515625" style="2" customWidth="1"/>
    <col min="9475" max="9475" width="17.140625" style="2" customWidth="1"/>
    <col min="9476" max="9476" width="43.28515625" style="2" customWidth="1"/>
    <col min="9477" max="9477" width="15" style="2" customWidth="1"/>
    <col min="9478" max="9478" width="18.28515625" style="2" customWidth="1"/>
    <col min="9479" max="9479" width="15.28515625" style="2" customWidth="1"/>
    <col min="9480" max="9480" width="19.85546875" style="2" customWidth="1"/>
    <col min="9481" max="9481" width="9.140625" style="2"/>
    <col min="9482" max="9482" width="17.5703125" style="2" customWidth="1"/>
    <col min="9483" max="9728" width="9.140625" style="2"/>
    <col min="9729" max="9729" width="5.5703125" style="2" customWidth="1"/>
    <col min="9730" max="9730" width="10.28515625" style="2" customWidth="1"/>
    <col min="9731" max="9731" width="17.140625" style="2" customWidth="1"/>
    <col min="9732" max="9732" width="43.28515625" style="2" customWidth="1"/>
    <col min="9733" max="9733" width="15" style="2" customWidth="1"/>
    <col min="9734" max="9734" width="18.28515625" style="2" customWidth="1"/>
    <col min="9735" max="9735" width="15.28515625" style="2" customWidth="1"/>
    <col min="9736" max="9736" width="19.85546875" style="2" customWidth="1"/>
    <col min="9737" max="9737" width="9.140625" style="2"/>
    <col min="9738" max="9738" width="17.5703125" style="2" customWidth="1"/>
    <col min="9739" max="9984" width="9.140625" style="2"/>
    <col min="9985" max="9985" width="5.5703125" style="2" customWidth="1"/>
    <col min="9986" max="9986" width="10.28515625" style="2" customWidth="1"/>
    <col min="9987" max="9987" width="17.140625" style="2" customWidth="1"/>
    <col min="9988" max="9988" width="43.28515625" style="2" customWidth="1"/>
    <col min="9989" max="9989" width="15" style="2" customWidth="1"/>
    <col min="9990" max="9990" width="18.28515625" style="2" customWidth="1"/>
    <col min="9991" max="9991" width="15.28515625" style="2" customWidth="1"/>
    <col min="9992" max="9992" width="19.85546875" style="2" customWidth="1"/>
    <col min="9993" max="9993" width="9.140625" style="2"/>
    <col min="9994" max="9994" width="17.5703125" style="2" customWidth="1"/>
    <col min="9995" max="10240" width="9.140625" style="2"/>
    <col min="10241" max="10241" width="5.5703125" style="2" customWidth="1"/>
    <col min="10242" max="10242" width="10.28515625" style="2" customWidth="1"/>
    <col min="10243" max="10243" width="17.140625" style="2" customWidth="1"/>
    <col min="10244" max="10244" width="43.28515625" style="2" customWidth="1"/>
    <col min="10245" max="10245" width="15" style="2" customWidth="1"/>
    <col min="10246" max="10246" width="18.28515625" style="2" customWidth="1"/>
    <col min="10247" max="10247" width="15.28515625" style="2" customWidth="1"/>
    <col min="10248" max="10248" width="19.85546875" style="2" customWidth="1"/>
    <col min="10249" max="10249" width="9.140625" style="2"/>
    <col min="10250" max="10250" width="17.5703125" style="2" customWidth="1"/>
    <col min="10251" max="10496" width="9.140625" style="2"/>
    <col min="10497" max="10497" width="5.5703125" style="2" customWidth="1"/>
    <col min="10498" max="10498" width="10.28515625" style="2" customWidth="1"/>
    <col min="10499" max="10499" width="17.140625" style="2" customWidth="1"/>
    <col min="10500" max="10500" width="43.28515625" style="2" customWidth="1"/>
    <col min="10501" max="10501" width="15" style="2" customWidth="1"/>
    <col min="10502" max="10502" width="18.28515625" style="2" customWidth="1"/>
    <col min="10503" max="10503" width="15.28515625" style="2" customWidth="1"/>
    <col min="10504" max="10504" width="19.85546875" style="2" customWidth="1"/>
    <col min="10505" max="10505" width="9.140625" style="2"/>
    <col min="10506" max="10506" width="17.5703125" style="2" customWidth="1"/>
    <col min="10507" max="10752" width="9.140625" style="2"/>
    <col min="10753" max="10753" width="5.5703125" style="2" customWidth="1"/>
    <col min="10754" max="10754" width="10.28515625" style="2" customWidth="1"/>
    <col min="10755" max="10755" width="17.140625" style="2" customWidth="1"/>
    <col min="10756" max="10756" width="43.28515625" style="2" customWidth="1"/>
    <col min="10757" max="10757" width="15" style="2" customWidth="1"/>
    <col min="10758" max="10758" width="18.28515625" style="2" customWidth="1"/>
    <col min="10759" max="10759" width="15.28515625" style="2" customWidth="1"/>
    <col min="10760" max="10760" width="19.85546875" style="2" customWidth="1"/>
    <col min="10761" max="10761" width="9.140625" style="2"/>
    <col min="10762" max="10762" width="17.5703125" style="2" customWidth="1"/>
    <col min="10763" max="11008" width="9.140625" style="2"/>
    <col min="11009" max="11009" width="5.5703125" style="2" customWidth="1"/>
    <col min="11010" max="11010" width="10.28515625" style="2" customWidth="1"/>
    <col min="11011" max="11011" width="17.140625" style="2" customWidth="1"/>
    <col min="11012" max="11012" width="43.28515625" style="2" customWidth="1"/>
    <col min="11013" max="11013" width="15" style="2" customWidth="1"/>
    <col min="11014" max="11014" width="18.28515625" style="2" customWidth="1"/>
    <col min="11015" max="11015" width="15.28515625" style="2" customWidth="1"/>
    <col min="11016" max="11016" width="19.85546875" style="2" customWidth="1"/>
    <col min="11017" max="11017" width="9.140625" style="2"/>
    <col min="11018" max="11018" width="17.5703125" style="2" customWidth="1"/>
    <col min="11019" max="11264" width="9.140625" style="2"/>
    <col min="11265" max="11265" width="5.5703125" style="2" customWidth="1"/>
    <col min="11266" max="11266" width="10.28515625" style="2" customWidth="1"/>
    <col min="11267" max="11267" width="17.140625" style="2" customWidth="1"/>
    <col min="11268" max="11268" width="43.28515625" style="2" customWidth="1"/>
    <col min="11269" max="11269" width="15" style="2" customWidth="1"/>
    <col min="11270" max="11270" width="18.28515625" style="2" customWidth="1"/>
    <col min="11271" max="11271" width="15.28515625" style="2" customWidth="1"/>
    <col min="11272" max="11272" width="19.85546875" style="2" customWidth="1"/>
    <col min="11273" max="11273" width="9.140625" style="2"/>
    <col min="11274" max="11274" width="17.5703125" style="2" customWidth="1"/>
    <col min="11275" max="11520" width="9.140625" style="2"/>
    <col min="11521" max="11521" width="5.5703125" style="2" customWidth="1"/>
    <col min="11522" max="11522" width="10.28515625" style="2" customWidth="1"/>
    <col min="11523" max="11523" width="17.140625" style="2" customWidth="1"/>
    <col min="11524" max="11524" width="43.28515625" style="2" customWidth="1"/>
    <col min="11525" max="11525" width="15" style="2" customWidth="1"/>
    <col min="11526" max="11526" width="18.28515625" style="2" customWidth="1"/>
    <col min="11527" max="11527" width="15.28515625" style="2" customWidth="1"/>
    <col min="11528" max="11528" width="19.85546875" style="2" customWidth="1"/>
    <col min="11529" max="11529" width="9.140625" style="2"/>
    <col min="11530" max="11530" width="17.5703125" style="2" customWidth="1"/>
    <col min="11531" max="11776" width="9.140625" style="2"/>
    <col min="11777" max="11777" width="5.5703125" style="2" customWidth="1"/>
    <col min="11778" max="11778" width="10.28515625" style="2" customWidth="1"/>
    <col min="11779" max="11779" width="17.140625" style="2" customWidth="1"/>
    <col min="11780" max="11780" width="43.28515625" style="2" customWidth="1"/>
    <col min="11781" max="11781" width="15" style="2" customWidth="1"/>
    <col min="11782" max="11782" width="18.28515625" style="2" customWidth="1"/>
    <col min="11783" max="11783" width="15.28515625" style="2" customWidth="1"/>
    <col min="11784" max="11784" width="19.85546875" style="2" customWidth="1"/>
    <col min="11785" max="11785" width="9.140625" style="2"/>
    <col min="11786" max="11786" width="17.5703125" style="2" customWidth="1"/>
    <col min="11787" max="12032" width="9.140625" style="2"/>
    <col min="12033" max="12033" width="5.5703125" style="2" customWidth="1"/>
    <col min="12034" max="12034" width="10.28515625" style="2" customWidth="1"/>
    <col min="12035" max="12035" width="17.140625" style="2" customWidth="1"/>
    <col min="12036" max="12036" width="43.28515625" style="2" customWidth="1"/>
    <col min="12037" max="12037" width="15" style="2" customWidth="1"/>
    <col min="12038" max="12038" width="18.28515625" style="2" customWidth="1"/>
    <col min="12039" max="12039" width="15.28515625" style="2" customWidth="1"/>
    <col min="12040" max="12040" width="19.85546875" style="2" customWidth="1"/>
    <col min="12041" max="12041" width="9.140625" style="2"/>
    <col min="12042" max="12042" width="17.5703125" style="2" customWidth="1"/>
    <col min="12043" max="12288" width="9.140625" style="2"/>
    <col min="12289" max="12289" width="5.5703125" style="2" customWidth="1"/>
    <col min="12290" max="12290" width="10.28515625" style="2" customWidth="1"/>
    <col min="12291" max="12291" width="17.140625" style="2" customWidth="1"/>
    <col min="12292" max="12292" width="43.28515625" style="2" customWidth="1"/>
    <col min="12293" max="12293" width="15" style="2" customWidth="1"/>
    <col min="12294" max="12294" width="18.28515625" style="2" customWidth="1"/>
    <col min="12295" max="12295" width="15.28515625" style="2" customWidth="1"/>
    <col min="12296" max="12296" width="19.85546875" style="2" customWidth="1"/>
    <col min="12297" max="12297" width="9.140625" style="2"/>
    <col min="12298" max="12298" width="17.5703125" style="2" customWidth="1"/>
    <col min="12299" max="12544" width="9.140625" style="2"/>
    <col min="12545" max="12545" width="5.5703125" style="2" customWidth="1"/>
    <col min="12546" max="12546" width="10.28515625" style="2" customWidth="1"/>
    <col min="12547" max="12547" width="17.140625" style="2" customWidth="1"/>
    <col min="12548" max="12548" width="43.28515625" style="2" customWidth="1"/>
    <col min="12549" max="12549" width="15" style="2" customWidth="1"/>
    <col min="12550" max="12550" width="18.28515625" style="2" customWidth="1"/>
    <col min="12551" max="12551" width="15.28515625" style="2" customWidth="1"/>
    <col min="12552" max="12552" width="19.85546875" style="2" customWidth="1"/>
    <col min="12553" max="12553" width="9.140625" style="2"/>
    <col min="12554" max="12554" width="17.5703125" style="2" customWidth="1"/>
    <col min="12555" max="12800" width="9.140625" style="2"/>
    <col min="12801" max="12801" width="5.5703125" style="2" customWidth="1"/>
    <col min="12802" max="12802" width="10.28515625" style="2" customWidth="1"/>
    <col min="12803" max="12803" width="17.140625" style="2" customWidth="1"/>
    <col min="12804" max="12804" width="43.28515625" style="2" customWidth="1"/>
    <col min="12805" max="12805" width="15" style="2" customWidth="1"/>
    <col min="12806" max="12806" width="18.28515625" style="2" customWidth="1"/>
    <col min="12807" max="12807" width="15.28515625" style="2" customWidth="1"/>
    <col min="12808" max="12808" width="19.85546875" style="2" customWidth="1"/>
    <col min="12809" max="12809" width="9.140625" style="2"/>
    <col min="12810" max="12810" width="17.5703125" style="2" customWidth="1"/>
    <col min="12811" max="13056" width="9.140625" style="2"/>
    <col min="13057" max="13057" width="5.5703125" style="2" customWidth="1"/>
    <col min="13058" max="13058" width="10.28515625" style="2" customWidth="1"/>
    <col min="13059" max="13059" width="17.140625" style="2" customWidth="1"/>
    <col min="13060" max="13060" width="43.28515625" style="2" customWidth="1"/>
    <col min="13061" max="13061" width="15" style="2" customWidth="1"/>
    <col min="13062" max="13062" width="18.28515625" style="2" customWidth="1"/>
    <col min="13063" max="13063" width="15.28515625" style="2" customWidth="1"/>
    <col min="13064" max="13064" width="19.85546875" style="2" customWidth="1"/>
    <col min="13065" max="13065" width="9.140625" style="2"/>
    <col min="13066" max="13066" width="17.5703125" style="2" customWidth="1"/>
    <col min="13067" max="13312" width="9.140625" style="2"/>
    <col min="13313" max="13313" width="5.5703125" style="2" customWidth="1"/>
    <col min="13314" max="13314" width="10.28515625" style="2" customWidth="1"/>
    <col min="13315" max="13315" width="17.140625" style="2" customWidth="1"/>
    <col min="13316" max="13316" width="43.28515625" style="2" customWidth="1"/>
    <col min="13317" max="13317" width="15" style="2" customWidth="1"/>
    <col min="13318" max="13318" width="18.28515625" style="2" customWidth="1"/>
    <col min="13319" max="13319" width="15.28515625" style="2" customWidth="1"/>
    <col min="13320" max="13320" width="19.85546875" style="2" customWidth="1"/>
    <col min="13321" max="13321" width="9.140625" style="2"/>
    <col min="13322" max="13322" width="17.5703125" style="2" customWidth="1"/>
    <col min="13323" max="13568" width="9.140625" style="2"/>
    <col min="13569" max="13569" width="5.5703125" style="2" customWidth="1"/>
    <col min="13570" max="13570" width="10.28515625" style="2" customWidth="1"/>
    <col min="13571" max="13571" width="17.140625" style="2" customWidth="1"/>
    <col min="13572" max="13572" width="43.28515625" style="2" customWidth="1"/>
    <col min="13573" max="13573" width="15" style="2" customWidth="1"/>
    <col min="13574" max="13574" width="18.28515625" style="2" customWidth="1"/>
    <col min="13575" max="13575" width="15.28515625" style="2" customWidth="1"/>
    <col min="13576" max="13576" width="19.85546875" style="2" customWidth="1"/>
    <col min="13577" max="13577" width="9.140625" style="2"/>
    <col min="13578" max="13578" width="17.5703125" style="2" customWidth="1"/>
    <col min="13579" max="13824" width="9.140625" style="2"/>
    <col min="13825" max="13825" width="5.5703125" style="2" customWidth="1"/>
    <col min="13826" max="13826" width="10.28515625" style="2" customWidth="1"/>
    <col min="13827" max="13827" width="17.140625" style="2" customWidth="1"/>
    <col min="13828" max="13828" width="43.28515625" style="2" customWidth="1"/>
    <col min="13829" max="13829" width="15" style="2" customWidth="1"/>
    <col min="13830" max="13830" width="18.28515625" style="2" customWidth="1"/>
    <col min="13831" max="13831" width="15.28515625" style="2" customWidth="1"/>
    <col min="13832" max="13832" width="19.85546875" style="2" customWidth="1"/>
    <col min="13833" max="13833" width="9.140625" style="2"/>
    <col min="13834" max="13834" width="17.5703125" style="2" customWidth="1"/>
    <col min="13835" max="14080" width="9.140625" style="2"/>
    <col min="14081" max="14081" width="5.5703125" style="2" customWidth="1"/>
    <col min="14082" max="14082" width="10.28515625" style="2" customWidth="1"/>
    <col min="14083" max="14083" width="17.140625" style="2" customWidth="1"/>
    <col min="14084" max="14084" width="43.28515625" style="2" customWidth="1"/>
    <col min="14085" max="14085" width="15" style="2" customWidth="1"/>
    <col min="14086" max="14086" width="18.28515625" style="2" customWidth="1"/>
    <col min="14087" max="14087" width="15.28515625" style="2" customWidth="1"/>
    <col min="14088" max="14088" width="19.85546875" style="2" customWidth="1"/>
    <col min="14089" max="14089" width="9.140625" style="2"/>
    <col min="14090" max="14090" width="17.5703125" style="2" customWidth="1"/>
    <col min="14091" max="14336" width="9.140625" style="2"/>
    <col min="14337" max="14337" width="5.5703125" style="2" customWidth="1"/>
    <col min="14338" max="14338" width="10.28515625" style="2" customWidth="1"/>
    <col min="14339" max="14339" width="17.140625" style="2" customWidth="1"/>
    <col min="14340" max="14340" width="43.28515625" style="2" customWidth="1"/>
    <col min="14341" max="14341" width="15" style="2" customWidth="1"/>
    <col min="14342" max="14342" width="18.28515625" style="2" customWidth="1"/>
    <col min="14343" max="14343" width="15.28515625" style="2" customWidth="1"/>
    <col min="14344" max="14344" width="19.85546875" style="2" customWidth="1"/>
    <col min="14345" max="14345" width="9.140625" style="2"/>
    <col min="14346" max="14346" width="17.5703125" style="2" customWidth="1"/>
    <col min="14347" max="14592" width="9.140625" style="2"/>
    <col min="14593" max="14593" width="5.5703125" style="2" customWidth="1"/>
    <col min="14594" max="14594" width="10.28515625" style="2" customWidth="1"/>
    <col min="14595" max="14595" width="17.140625" style="2" customWidth="1"/>
    <col min="14596" max="14596" width="43.28515625" style="2" customWidth="1"/>
    <col min="14597" max="14597" width="15" style="2" customWidth="1"/>
    <col min="14598" max="14598" width="18.28515625" style="2" customWidth="1"/>
    <col min="14599" max="14599" width="15.28515625" style="2" customWidth="1"/>
    <col min="14600" max="14600" width="19.85546875" style="2" customWidth="1"/>
    <col min="14601" max="14601" width="9.140625" style="2"/>
    <col min="14602" max="14602" width="17.5703125" style="2" customWidth="1"/>
    <col min="14603" max="14848" width="9.140625" style="2"/>
    <col min="14849" max="14849" width="5.5703125" style="2" customWidth="1"/>
    <col min="14850" max="14850" width="10.28515625" style="2" customWidth="1"/>
    <col min="14851" max="14851" width="17.140625" style="2" customWidth="1"/>
    <col min="14852" max="14852" width="43.28515625" style="2" customWidth="1"/>
    <col min="14853" max="14853" width="15" style="2" customWidth="1"/>
    <col min="14854" max="14854" width="18.28515625" style="2" customWidth="1"/>
    <col min="14855" max="14855" width="15.28515625" style="2" customWidth="1"/>
    <col min="14856" max="14856" width="19.85546875" style="2" customWidth="1"/>
    <col min="14857" max="14857" width="9.140625" style="2"/>
    <col min="14858" max="14858" width="17.5703125" style="2" customWidth="1"/>
    <col min="14859" max="15104" width="9.140625" style="2"/>
    <col min="15105" max="15105" width="5.5703125" style="2" customWidth="1"/>
    <col min="15106" max="15106" width="10.28515625" style="2" customWidth="1"/>
    <col min="15107" max="15107" width="17.140625" style="2" customWidth="1"/>
    <col min="15108" max="15108" width="43.28515625" style="2" customWidth="1"/>
    <col min="15109" max="15109" width="15" style="2" customWidth="1"/>
    <col min="15110" max="15110" width="18.28515625" style="2" customWidth="1"/>
    <col min="15111" max="15111" width="15.28515625" style="2" customWidth="1"/>
    <col min="15112" max="15112" width="19.85546875" style="2" customWidth="1"/>
    <col min="15113" max="15113" width="9.140625" style="2"/>
    <col min="15114" max="15114" width="17.5703125" style="2" customWidth="1"/>
    <col min="15115" max="15360" width="9.140625" style="2"/>
    <col min="15361" max="15361" width="5.5703125" style="2" customWidth="1"/>
    <col min="15362" max="15362" width="10.28515625" style="2" customWidth="1"/>
    <col min="15363" max="15363" width="17.140625" style="2" customWidth="1"/>
    <col min="15364" max="15364" width="43.28515625" style="2" customWidth="1"/>
    <col min="15365" max="15365" width="15" style="2" customWidth="1"/>
    <col min="15366" max="15366" width="18.28515625" style="2" customWidth="1"/>
    <col min="15367" max="15367" width="15.28515625" style="2" customWidth="1"/>
    <col min="15368" max="15368" width="19.85546875" style="2" customWidth="1"/>
    <col min="15369" max="15369" width="9.140625" style="2"/>
    <col min="15370" max="15370" width="17.5703125" style="2" customWidth="1"/>
    <col min="15371" max="15616" width="9.140625" style="2"/>
    <col min="15617" max="15617" width="5.5703125" style="2" customWidth="1"/>
    <col min="15618" max="15618" width="10.28515625" style="2" customWidth="1"/>
    <col min="15619" max="15619" width="17.140625" style="2" customWidth="1"/>
    <col min="15620" max="15620" width="43.28515625" style="2" customWidth="1"/>
    <col min="15621" max="15621" width="15" style="2" customWidth="1"/>
    <col min="15622" max="15622" width="18.28515625" style="2" customWidth="1"/>
    <col min="15623" max="15623" width="15.28515625" style="2" customWidth="1"/>
    <col min="15624" max="15624" width="19.85546875" style="2" customWidth="1"/>
    <col min="15625" max="15625" width="9.140625" style="2"/>
    <col min="15626" max="15626" width="17.5703125" style="2" customWidth="1"/>
    <col min="15627" max="15872" width="9.140625" style="2"/>
    <col min="15873" max="15873" width="5.5703125" style="2" customWidth="1"/>
    <col min="15874" max="15874" width="10.28515625" style="2" customWidth="1"/>
    <col min="15875" max="15875" width="17.140625" style="2" customWidth="1"/>
    <col min="15876" max="15876" width="43.28515625" style="2" customWidth="1"/>
    <col min="15877" max="15877" width="15" style="2" customWidth="1"/>
    <col min="15878" max="15878" width="18.28515625" style="2" customWidth="1"/>
    <col min="15879" max="15879" width="15.28515625" style="2" customWidth="1"/>
    <col min="15880" max="15880" width="19.85546875" style="2" customWidth="1"/>
    <col min="15881" max="15881" width="9.140625" style="2"/>
    <col min="15882" max="15882" width="17.5703125" style="2" customWidth="1"/>
    <col min="15883" max="16128" width="9.140625" style="2"/>
    <col min="16129" max="16129" width="5.5703125" style="2" customWidth="1"/>
    <col min="16130" max="16130" width="10.28515625" style="2" customWidth="1"/>
    <col min="16131" max="16131" width="17.140625" style="2" customWidth="1"/>
    <col min="16132" max="16132" width="43.28515625" style="2" customWidth="1"/>
    <col min="16133" max="16133" width="15" style="2" customWidth="1"/>
    <col min="16134" max="16134" width="18.28515625" style="2" customWidth="1"/>
    <col min="16135" max="16135" width="15.28515625" style="2" customWidth="1"/>
    <col min="16136" max="16136" width="19.85546875" style="2" customWidth="1"/>
    <col min="16137" max="16137" width="9.140625" style="2"/>
    <col min="16138" max="16138" width="17.5703125" style="2" customWidth="1"/>
    <col min="16139" max="16384" width="9.140625" style="2"/>
  </cols>
  <sheetData>
    <row r="1" spans="1:12" s="1" customFormat="1" ht="18.75">
      <c r="A1" s="127" t="s">
        <v>53</v>
      </c>
      <c r="B1" s="127"/>
      <c r="C1" s="127"/>
      <c r="D1" s="127"/>
      <c r="E1" s="127"/>
      <c r="F1" s="127"/>
      <c r="G1" s="127"/>
      <c r="H1" s="127"/>
    </row>
    <row r="2" spans="1:12" ht="16.5" thickBot="1"/>
    <row r="3" spans="1:12" s="8" customFormat="1" ht="84" customHeight="1" thickBot="1">
      <c r="A3" s="80" t="s">
        <v>1</v>
      </c>
      <c r="B3" s="81" t="s">
        <v>2</v>
      </c>
      <c r="C3" s="82" t="s">
        <v>3</v>
      </c>
      <c r="D3" s="82" t="s">
        <v>4</v>
      </c>
      <c r="E3" s="82" t="s">
        <v>5</v>
      </c>
      <c r="F3" s="82" t="s">
        <v>6</v>
      </c>
      <c r="G3" s="82" t="s">
        <v>7</v>
      </c>
      <c r="H3" s="83" t="s">
        <v>8</v>
      </c>
      <c r="J3" s="128" t="s">
        <v>9</v>
      </c>
      <c r="K3" s="129"/>
      <c r="L3" s="129"/>
    </row>
    <row r="4" spans="1:12" ht="15.75" customHeight="1">
      <c r="A4" s="167">
        <v>1</v>
      </c>
      <c r="B4" s="170" t="s">
        <v>49</v>
      </c>
      <c r="C4" s="173" t="s">
        <v>11</v>
      </c>
      <c r="D4" s="84" t="s">
        <v>12</v>
      </c>
      <c r="E4" s="85" t="s">
        <v>13</v>
      </c>
      <c r="F4" s="86">
        <v>16.55</v>
      </c>
      <c r="G4" s="86">
        <v>140243.93</v>
      </c>
      <c r="H4" s="87">
        <f>F4*G4</f>
        <v>2321037.0414999998</v>
      </c>
    </row>
    <row r="5" spans="1:12" ht="20.25" customHeight="1">
      <c r="A5" s="168"/>
      <c r="B5" s="171"/>
      <c r="C5" s="174"/>
      <c r="D5" s="88" t="s">
        <v>16</v>
      </c>
      <c r="E5" s="89" t="s">
        <v>15</v>
      </c>
      <c r="F5" s="90">
        <v>5297.9210000000003</v>
      </c>
      <c r="G5" s="91">
        <v>0</v>
      </c>
      <c r="H5" s="92">
        <f>F5*G5</f>
        <v>0</v>
      </c>
    </row>
    <row r="6" spans="1:12" ht="16.5" customHeight="1">
      <c r="A6" s="168"/>
      <c r="B6" s="171"/>
      <c r="C6" s="174"/>
      <c r="D6" s="88" t="s">
        <v>17</v>
      </c>
      <c r="E6" s="89" t="s">
        <v>15</v>
      </c>
      <c r="F6" s="90">
        <v>102.19199999999999</v>
      </c>
      <c r="G6" s="91">
        <v>0</v>
      </c>
      <c r="H6" s="92">
        <f>F6*G6</f>
        <v>0</v>
      </c>
    </row>
    <row r="7" spans="1:12">
      <c r="A7" s="168"/>
      <c r="B7" s="171"/>
      <c r="C7" s="174"/>
      <c r="D7" s="88" t="s">
        <v>18</v>
      </c>
      <c r="E7" s="89" t="s">
        <v>15</v>
      </c>
      <c r="F7" s="90">
        <v>731.78599999999994</v>
      </c>
      <c r="G7" s="91">
        <v>0</v>
      </c>
      <c r="H7" s="92">
        <f>F7*G7</f>
        <v>0</v>
      </c>
    </row>
    <row r="8" spans="1:12">
      <c r="A8" s="168"/>
      <c r="B8" s="171"/>
      <c r="C8" s="174"/>
      <c r="D8" s="93" t="s">
        <v>19</v>
      </c>
      <c r="E8" s="94"/>
      <c r="F8" s="95">
        <f>F4</f>
        <v>16.55</v>
      </c>
      <c r="G8" s="95"/>
      <c r="H8" s="96">
        <f>H4</f>
        <v>2321037.0414999998</v>
      </c>
    </row>
    <row r="9" spans="1:12" ht="16.5" thickBot="1">
      <c r="A9" s="169"/>
      <c r="B9" s="172"/>
      <c r="C9" s="175"/>
      <c r="D9" s="97" t="s">
        <v>20</v>
      </c>
      <c r="E9" s="98"/>
      <c r="F9" s="99">
        <f>F5+F6+F7</f>
        <v>6131.8990000000003</v>
      </c>
      <c r="G9" s="100"/>
      <c r="H9" s="101">
        <f>H5+H6+H7</f>
        <v>0</v>
      </c>
    </row>
    <row r="10" spans="1:12" ht="16.5" customHeight="1">
      <c r="A10" s="158">
        <v>2</v>
      </c>
      <c r="B10" s="161" t="s">
        <v>21</v>
      </c>
      <c r="C10" s="164" t="s">
        <v>11</v>
      </c>
      <c r="D10" s="84" t="s">
        <v>12</v>
      </c>
      <c r="E10" s="85" t="s">
        <v>13</v>
      </c>
      <c r="F10" s="86">
        <v>16.55</v>
      </c>
      <c r="G10" s="86">
        <v>140243.93</v>
      </c>
      <c r="H10" s="87">
        <f>F10*G10</f>
        <v>2321037.0414999998</v>
      </c>
    </row>
    <row r="11" spans="1:12" ht="25.5">
      <c r="A11" s="159"/>
      <c r="B11" s="162"/>
      <c r="C11" s="165"/>
      <c r="D11" s="88" t="s">
        <v>16</v>
      </c>
      <c r="E11" s="89" t="s">
        <v>15</v>
      </c>
      <c r="F11" s="90">
        <v>4275.1729999999998</v>
      </c>
      <c r="G11" s="91">
        <v>0</v>
      </c>
      <c r="H11" s="92">
        <f>F11*G11</f>
        <v>0</v>
      </c>
    </row>
    <row r="12" spans="1:12" ht="25.5">
      <c r="A12" s="159"/>
      <c r="B12" s="162"/>
      <c r="C12" s="165"/>
      <c r="D12" s="88" t="s">
        <v>17</v>
      </c>
      <c r="E12" s="89" t="s">
        <v>15</v>
      </c>
      <c r="F12" s="90">
        <v>92.242999999999995</v>
      </c>
      <c r="G12" s="91">
        <v>0</v>
      </c>
      <c r="H12" s="92">
        <f>F12*G12</f>
        <v>0</v>
      </c>
    </row>
    <row r="13" spans="1:12">
      <c r="A13" s="159"/>
      <c r="B13" s="162"/>
      <c r="C13" s="165"/>
      <c r="D13" s="88" t="s">
        <v>18</v>
      </c>
      <c r="E13" s="89" t="s">
        <v>15</v>
      </c>
      <c r="F13" s="90">
        <v>665.65300000000002</v>
      </c>
      <c r="G13" s="91">
        <v>0</v>
      </c>
      <c r="H13" s="92">
        <f>F13*G13</f>
        <v>0</v>
      </c>
    </row>
    <row r="14" spans="1:12">
      <c r="A14" s="159"/>
      <c r="B14" s="162"/>
      <c r="C14" s="165"/>
      <c r="D14" s="93" t="s">
        <v>19</v>
      </c>
      <c r="E14" s="94"/>
      <c r="F14" s="95">
        <f>F10</f>
        <v>16.55</v>
      </c>
      <c r="G14" s="95"/>
      <c r="H14" s="96">
        <f>H10</f>
        <v>2321037.0414999998</v>
      </c>
    </row>
    <row r="15" spans="1:12" ht="16.5" thickBot="1">
      <c r="A15" s="160"/>
      <c r="B15" s="163"/>
      <c r="C15" s="166"/>
      <c r="D15" s="102" t="s">
        <v>20</v>
      </c>
      <c r="E15" s="103"/>
      <c r="F15" s="104">
        <f>F11+F12+F13</f>
        <v>5033.0690000000004</v>
      </c>
      <c r="G15" s="105"/>
      <c r="H15" s="106">
        <f>H11+H12+H13</f>
        <v>0</v>
      </c>
    </row>
    <row r="16" spans="1:12" ht="16.5" customHeight="1">
      <c r="A16" s="158">
        <v>3</v>
      </c>
      <c r="B16" s="161" t="s">
        <v>47</v>
      </c>
      <c r="C16" s="164" t="s">
        <v>11</v>
      </c>
      <c r="D16" s="84" t="s">
        <v>12</v>
      </c>
      <c r="E16" s="85" t="s">
        <v>13</v>
      </c>
      <c r="F16" s="86">
        <v>16.55</v>
      </c>
      <c r="G16" s="86">
        <v>140243.93</v>
      </c>
      <c r="H16" s="87">
        <f>F16*G16</f>
        <v>2321037.0414999998</v>
      </c>
    </row>
    <row r="17" spans="1:8" ht="25.5">
      <c r="A17" s="159"/>
      <c r="B17" s="162"/>
      <c r="C17" s="165"/>
      <c r="D17" s="88" t="s">
        <v>16</v>
      </c>
      <c r="E17" s="89" t="s">
        <v>15</v>
      </c>
      <c r="F17" s="90">
        <v>4320.6940000000004</v>
      </c>
      <c r="G17" s="91">
        <v>0</v>
      </c>
      <c r="H17" s="92">
        <f>F17*G17</f>
        <v>0</v>
      </c>
    </row>
    <row r="18" spans="1:8" ht="25.5">
      <c r="A18" s="159"/>
      <c r="B18" s="162"/>
      <c r="C18" s="165"/>
      <c r="D18" s="88" t="s">
        <v>17</v>
      </c>
      <c r="E18" s="89" t="s">
        <v>15</v>
      </c>
      <c r="F18" s="90">
        <v>85.861999999999995</v>
      </c>
      <c r="G18" s="91">
        <v>0</v>
      </c>
      <c r="H18" s="92">
        <f>F18*G18</f>
        <v>0</v>
      </c>
    </row>
    <row r="19" spans="1:8">
      <c r="A19" s="159"/>
      <c r="B19" s="162"/>
      <c r="C19" s="165"/>
      <c r="D19" s="88" t="s">
        <v>18</v>
      </c>
      <c r="E19" s="89" t="s">
        <v>15</v>
      </c>
      <c r="F19" s="90">
        <v>663.98199999999997</v>
      </c>
      <c r="G19" s="91">
        <v>0</v>
      </c>
      <c r="H19" s="92">
        <f>F19*G19</f>
        <v>0</v>
      </c>
    </row>
    <row r="20" spans="1:8">
      <c r="A20" s="159"/>
      <c r="B20" s="162"/>
      <c r="C20" s="165"/>
      <c r="D20" s="93" t="s">
        <v>19</v>
      </c>
      <c r="E20" s="94"/>
      <c r="F20" s="95">
        <f>F16</f>
        <v>16.55</v>
      </c>
      <c r="G20" s="95"/>
      <c r="H20" s="96">
        <f>H16</f>
        <v>2321037.0414999998</v>
      </c>
    </row>
    <row r="21" spans="1:8" ht="16.5" thickBot="1">
      <c r="A21" s="160"/>
      <c r="B21" s="163"/>
      <c r="C21" s="166"/>
      <c r="D21" s="102" t="s">
        <v>20</v>
      </c>
      <c r="E21" s="103"/>
      <c r="F21" s="104">
        <f>F17+F18+F19</f>
        <v>5070.5380000000005</v>
      </c>
      <c r="G21" s="105"/>
      <c r="H21" s="106">
        <f>H17+H18+H19</f>
        <v>0</v>
      </c>
    </row>
    <row r="22" spans="1:8" ht="16.5" customHeight="1">
      <c r="A22" s="158">
        <v>4</v>
      </c>
      <c r="B22" s="161" t="s">
        <v>23</v>
      </c>
      <c r="C22" s="164" t="s">
        <v>11</v>
      </c>
      <c r="D22" s="84" t="s">
        <v>12</v>
      </c>
      <c r="E22" s="85" t="s">
        <v>13</v>
      </c>
      <c r="F22" s="86">
        <v>16.55</v>
      </c>
      <c r="G22" s="86">
        <v>140243.93</v>
      </c>
      <c r="H22" s="87">
        <f>F22*G22</f>
        <v>2321037.0414999998</v>
      </c>
    </row>
    <row r="23" spans="1:8" ht="25.5">
      <c r="A23" s="159"/>
      <c r="B23" s="162"/>
      <c r="C23" s="165"/>
      <c r="D23" s="88" t="s">
        <v>16</v>
      </c>
      <c r="E23" s="89" t="s">
        <v>15</v>
      </c>
      <c r="F23" s="90">
        <v>3303.87</v>
      </c>
      <c r="G23" s="91">
        <v>0</v>
      </c>
      <c r="H23" s="92">
        <f>F23*G23</f>
        <v>0</v>
      </c>
    </row>
    <row r="24" spans="1:8" ht="25.5">
      <c r="A24" s="159"/>
      <c r="B24" s="162"/>
      <c r="C24" s="165"/>
      <c r="D24" s="88" t="s">
        <v>17</v>
      </c>
      <c r="E24" s="89" t="s">
        <v>15</v>
      </c>
      <c r="F24" s="90">
        <v>66.856999999999999</v>
      </c>
      <c r="G24" s="91">
        <v>0</v>
      </c>
      <c r="H24" s="92">
        <f>F24*G24</f>
        <v>0</v>
      </c>
    </row>
    <row r="25" spans="1:8">
      <c r="A25" s="159"/>
      <c r="B25" s="162"/>
      <c r="C25" s="165"/>
      <c r="D25" s="88" t="s">
        <v>18</v>
      </c>
      <c r="E25" s="89" t="s">
        <v>15</v>
      </c>
      <c r="F25" s="90">
        <v>608.03</v>
      </c>
      <c r="G25" s="91">
        <v>0</v>
      </c>
      <c r="H25" s="92">
        <f>F25*G25</f>
        <v>0</v>
      </c>
    </row>
    <row r="26" spans="1:8">
      <c r="A26" s="159"/>
      <c r="B26" s="162"/>
      <c r="C26" s="165"/>
      <c r="D26" s="93" t="s">
        <v>19</v>
      </c>
      <c r="E26" s="94"/>
      <c r="F26" s="95">
        <f>F22</f>
        <v>16.55</v>
      </c>
      <c r="G26" s="95"/>
      <c r="H26" s="96">
        <f>H22</f>
        <v>2321037.0414999998</v>
      </c>
    </row>
    <row r="27" spans="1:8" ht="16.5" thickBot="1">
      <c r="A27" s="160"/>
      <c r="B27" s="163"/>
      <c r="C27" s="166"/>
      <c r="D27" s="102" t="s">
        <v>20</v>
      </c>
      <c r="E27" s="103"/>
      <c r="F27" s="104">
        <f>F23+F24+F25</f>
        <v>3978.7569999999996</v>
      </c>
      <c r="G27" s="105"/>
      <c r="H27" s="106">
        <f>H23+H24+H25</f>
        <v>0</v>
      </c>
    </row>
    <row r="28" spans="1:8">
      <c r="A28" s="158">
        <v>5</v>
      </c>
      <c r="B28" s="161" t="s">
        <v>24</v>
      </c>
      <c r="C28" s="164" t="s">
        <v>11</v>
      </c>
      <c r="D28" s="84" t="s">
        <v>12</v>
      </c>
      <c r="E28" s="85" t="s">
        <v>13</v>
      </c>
      <c r="F28" s="86">
        <v>16.55</v>
      </c>
      <c r="G28" s="86">
        <v>140243.93</v>
      </c>
      <c r="H28" s="87">
        <f>F28*G28</f>
        <v>2321037.0414999998</v>
      </c>
    </row>
    <row r="29" spans="1:8" ht="25.5">
      <c r="A29" s="159"/>
      <c r="B29" s="162"/>
      <c r="C29" s="165"/>
      <c r="D29" s="88" t="s">
        <v>16</v>
      </c>
      <c r="E29" s="89" t="s">
        <v>15</v>
      </c>
      <c r="F29" s="90">
        <v>3065.06</v>
      </c>
      <c r="G29" s="91">
        <v>0</v>
      </c>
      <c r="H29" s="92">
        <f>F29*G29</f>
        <v>0</v>
      </c>
    </row>
    <row r="30" spans="1:8" ht="25.5">
      <c r="A30" s="159"/>
      <c r="B30" s="162"/>
      <c r="C30" s="165"/>
      <c r="D30" s="88" t="s">
        <v>17</v>
      </c>
      <c r="E30" s="89" t="s">
        <v>15</v>
      </c>
      <c r="F30" s="90">
        <v>63.93</v>
      </c>
      <c r="G30" s="91">
        <v>0</v>
      </c>
      <c r="H30" s="92">
        <f>F30*G30</f>
        <v>0</v>
      </c>
    </row>
    <row r="31" spans="1:8">
      <c r="A31" s="159"/>
      <c r="B31" s="162"/>
      <c r="C31" s="165"/>
      <c r="D31" s="88" t="s">
        <v>18</v>
      </c>
      <c r="E31" s="89" t="s">
        <v>15</v>
      </c>
      <c r="F31" s="90">
        <v>560.96199999999999</v>
      </c>
      <c r="G31" s="91">
        <v>0</v>
      </c>
      <c r="H31" s="92">
        <f>F31*G31</f>
        <v>0</v>
      </c>
    </row>
    <row r="32" spans="1:8">
      <c r="A32" s="159"/>
      <c r="B32" s="162"/>
      <c r="C32" s="165"/>
      <c r="D32" s="93" t="s">
        <v>19</v>
      </c>
      <c r="E32" s="94"/>
      <c r="F32" s="95">
        <f>F28</f>
        <v>16.55</v>
      </c>
      <c r="G32" s="95"/>
      <c r="H32" s="96">
        <f>H28</f>
        <v>2321037.0414999998</v>
      </c>
    </row>
    <row r="33" spans="1:8" ht="16.5" thickBot="1">
      <c r="A33" s="160"/>
      <c r="B33" s="163"/>
      <c r="C33" s="166"/>
      <c r="D33" s="102" t="s">
        <v>20</v>
      </c>
      <c r="E33" s="103"/>
      <c r="F33" s="104">
        <f>F29+F30+F31</f>
        <v>3689.9519999999998</v>
      </c>
      <c r="G33" s="105"/>
      <c r="H33" s="106">
        <f>H29+H30+H31</f>
        <v>0</v>
      </c>
    </row>
    <row r="34" spans="1:8">
      <c r="A34" s="158">
        <v>6</v>
      </c>
      <c r="B34" s="161" t="s">
        <v>25</v>
      </c>
      <c r="C34" s="164" t="s">
        <v>11</v>
      </c>
      <c r="D34" s="84" t="s">
        <v>12</v>
      </c>
      <c r="E34" s="85" t="s">
        <v>13</v>
      </c>
      <c r="F34" s="86">
        <v>16.55</v>
      </c>
      <c r="G34" s="86">
        <v>140243.93</v>
      </c>
      <c r="H34" s="87">
        <f>F34*G34</f>
        <v>2321037.0414999998</v>
      </c>
    </row>
    <row r="35" spans="1:8" ht="25.5">
      <c r="A35" s="159"/>
      <c r="B35" s="162"/>
      <c r="C35" s="165"/>
      <c r="D35" s="88" t="s">
        <v>16</v>
      </c>
      <c r="E35" s="89" t="s">
        <v>15</v>
      </c>
      <c r="F35" s="90">
        <v>3324.0219999999999</v>
      </c>
      <c r="G35" s="91">
        <v>0</v>
      </c>
      <c r="H35" s="92">
        <f>F35*G35</f>
        <v>0</v>
      </c>
    </row>
    <row r="36" spans="1:8" ht="25.5">
      <c r="A36" s="159"/>
      <c r="B36" s="162"/>
      <c r="C36" s="165"/>
      <c r="D36" s="88" t="s">
        <v>17</v>
      </c>
      <c r="E36" s="89" t="s">
        <v>15</v>
      </c>
      <c r="F36" s="90">
        <v>75.173000000000002</v>
      </c>
      <c r="G36" s="91">
        <v>0</v>
      </c>
      <c r="H36" s="92">
        <f>F36*G36</f>
        <v>0</v>
      </c>
    </row>
    <row r="37" spans="1:8">
      <c r="A37" s="159"/>
      <c r="B37" s="162"/>
      <c r="C37" s="165"/>
      <c r="D37" s="88" t="s">
        <v>18</v>
      </c>
      <c r="E37" s="89" t="s">
        <v>15</v>
      </c>
      <c r="F37" s="90">
        <v>631.50199999999995</v>
      </c>
      <c r="G37" s="91">
        <v>0</v>
      </c>
      <c r="H37" s="92">
        <f>F37*G37</f>
        <v>0</v>
      </c>
    </row>
    <row r="38" spans="1:8">
      <c r="A38" s="159"/>
      <c r="B38" s="162"/>
      <c r="C38" s="165"/>
      <c r="D38" s="93" t="s">
        <v>19</v>
      </c>
      <c r="E38" s="94"/>
      <c r="F38" s="95">
        <f>F34</f>
        <v>16.55</v>
      </c>
      <c r="G38" s="95"/>
      <c r="H38" s="96">
        <f>H34</f>
        <v>2321037.0414999998</v>
      </c>
    </row>
    <row r="39" spans="1:8" ht="16.5" thickBot="1">
      <c r="A39" s="160"/>
      <c r="B39" s="163"/>
      <c r="C39" s="166"/>
      <c r="D39" s="102" t="s">
        <v>20</v>
      </c>
      <c r="E39" s="103"/>
      <c r="F39" s="104">
        <f>F35+F36+F37</f>
        <v>4030.6969999999997</v>
      </c>
      <c r="G39" s="105"/>
      <c r="H39" s="106">
        <f>H35+H36+H37</f>
        <v>0</v>
      </c>
    </row>
    <row r="40" spans="1:8">
      <c r="A40" s="158">
        <v>7</v>
      </c>
      <c r="B40" s="161" t="s">
        <v>26</v>
      </c>
      <c r="C40" s="164" t="s">
        <v>11</v>
      </c>
      <c r="D40" s="84" t="s">
        <v>12</v>
      </c>
      <c r="E40" s="85" t="s">
        <v>13</v>
      </c>
      <c r="F40" s="86">
        <v>16.55</v>
      </c>
      <c r="G40" s="86">
        <v>140243.93</v>
      </c>
      <c r="H40" s="87">
        <f>F40*G40</f>
        <v>2321037.0414999998</v>
      </c>
    </row>
    <row r="41" spans="1:8" ht="25.5">
      <c r="A41" s="159"/>
      <c r="B41" s="162"/>
      <c r="C41" s="165"/>
      <c r="D41" s="88" t="s">
        <v>16</v>
      </c>
      <c r="E41" s="89" t="s">
        <v>15</v>
      </c>
      <c r="F41" s="90">
        <v>3375.77</v>
      </c>
      <c r="G41" s="91">
        <v>0</v>
      </c>
      <c r="H41" s="92">
        <f>F41*G41</f>
        <v>0</v>
      </c>
    </row>
    <row r="42" spans="1:8" ht="25.5">
      <c r="A42" s="159"/>
      <c r="B42" s="162"/>
      <c r="C42" s="165"/>
      <c r="D42" s="88" t="s">
        <v>17</v>
      </c>
      <c r="E42" s="89" t="s">
        <v>15</v>
      </c>
      <c r="F42" s="90">
        <v>142.011</v>
      </c>
      <c r="G42" s="91">
        <v>0</v>
      </c>
      <c r="H42" s="92">
        <f>F42*G42</f>
        <v>0</v>
      </c>
    </row>
    <row r="43" spans="1:8">
      <c r="A43" s="159"/>
      <c r="B43" s="162"/>
      <c r="C43" s="165"/>
      <c r="D43" s="88" t="s">
        <v>18</v>
      </c>
      <c r="E43" s="89" t="s">
        <v>15</v>
      </c>
      <c r="F43" s="90">
        <v>877.03300000000002</v>
      </c>
      <c r="G43" s="91">
        <v>0</v>
      </c>
      <c r="H43" s="92">
        <f>F43*G43</f>
        <v>0</v>
      </c>
    </row>
    <row r="44" spans="1:8">
      <c r="A44" s="159"/>
      <c r="B44" s="162"/>
      <c r="C44" s="165"/>
      <c r="D44" s="93" t="s">
        <v>19</v>
      </c>
      <c r="E44" s="94"/>
      <c r="F44" s="95">
        <f>F40</f>
        <v>16.55</v>
      </c>
      <c r="G44" s="95"/>
      <c r="H44" s="96">
        <f>H40</f>
        <v>2321037.0414999998</v>
      </c>
    </row>
    <row r="45" spans="1:8" ht="16.5" thickBot="1">
      <c r="A45" s="160"/>
      <c r="B45" s="163"/>
      <c r="C45" s="166"/>
      <c r="D45" s="102" t="s">
        <v>20</v>
      </c>
      <c r="E45" s="103"/>
      <c r="F45" s="104">
        <f>F41+F42+F43</f>
        <v>4394.8140000000003</v>
      </c>
      <c r="G45" s="105"/>
      <c r="H45" s="106">
        <f>H41+H42+H43</f>
        <v>0</v>
      </c>
    </row>
    <row r="46" spans="1:8">
      <c r="A46" s="158">
        <v>8</v>
      </c>
      <c r="B46" s="161" t="s">
        <v>27</v>
      </c>
      <c r="C46" s="164" t="s">
        <v>11</v>
      </c>
      <c r="D46" s="84" t="s">
        <v>12</v>
      </c>
      <c r="E46" s="85" t="s">
        <v>13</v>
      </c>
      <c r="F46" s="86">
        <v>16.55</v>
      </c>
      <c r="G46" s="86">
        <v>140243.93</v>
      </c>
      <c r="H46" s="87">
        <f>F46*G46</f>
        <v>2321037.0414999998</v>
      </c>
    </row>
    <row r="47" spans="1:8" ht="25.5">
      <c r="A47" s="159"/>
      <c r="B47" s="162"/>
      <c r="C47" s="165"/>
      <c r="D47" s="88" t="s">
        <v>16</v>
      </c>
      <c r="E47" s="89" t="s">
        <v>15</v>
      </c>
      <c r="F47" s="90">
        <v>3528.1860000000001</v>
      </c>
      <c r="G47" s="91">
        <v>0</v>
      </c>
      <c r="H47" s="92">
        <f>F47*G47</f>
        <v>0</v>
      </c>
    </row>
    <row r="48" spans="1:8" ht="25.5">
      <c r="A48" s="159"/>
      <c r="B48" s="162"/>
      <c r="C48" s="165"/>
      <c r="D48" s="88" t="s">
        <v>17</v>
      </c>
      <c r="E48" s="89" t="s">
        <v>15</v>
      </c>
      <c r="F48" s="90">
        <v>263.19400000000002</v>
      </c>
      <c r="G48" s="91">
        <v>0</v>
      </c>
      <c r="H48" s="92">
        <f>F48*G48</f>
        <v>0</v>
      </c>
    </row>
    <row r="49" spans="1:8">
      <c r="A49" s="159"/>
      <c r="B49" s="162"/>
      <c r="C49" s="165"/>
      <c r="D49" s="88" t="s">
        <v>18</v>
      </c>
      <c r="E49" s="89" t="s">
        <v>15</v>
      </c>
      <c r="F49" s="90">
        <v>852.17499999999995</v>
      </c>
      <c r="G49" s="91">
        <v>0</v>
      </c>
      <c r="H49" s="92">
        <f>F49*G49</f>
        <v>0</v>
      </c>
    </row>
    <row r="50" spans="1:8">
      <c r="A50" s="159"/>
      <c r="B50" s="162"/>
      <c r="C50" s="165"/>
      <c r="D50" s="93" t="s">
        <v>19</v>
      </c>
      <c r="E50" s="94"/>
      <c r="F50" s="95">
        <f>F46</f>
        <v>16.55</v>
      </c>
      <c r="G50" s="95"/>
      <c r="H50" s="96">
        <f>H46</f>
        <v>2321037.0414999998</v>
      </c>
    </row>
    <row r="51" spans="1:8" ht="16.5" thickBot="1">
      <c r="A51" s="160"/>
      <c r="B51" s="163"/>
      <c r="C51" s="166"/>
      <c r="D51" s="102" t="s">
        <v>20</v>
      </c>
      <c r="E51" s="103"/>
      <c r="F51" s="104">
        <f>F47+F48+F49</f>
        <v>4643.5550000000003</v>
      </c>
      <c r="G51" s="105"/>
      <c r="H51" s="106">
        <f>H47+H48+H49</f>
        <v>0</v>
      </c>
    </row>
    <row r="52" spans="1:8">
      <c r="A52" s="158">
        <v>9</v>
      </c>
      <c r="B52" s="161" t="s">
        <v>28</v>
      </c>
      <c r="C52" s="164" t="s">
        <v>11</v>
      </c>
      <c r="D52" s="84" t="s">
        <v>12</v>
      </c>
      <c r="E52" s="85" t="s">
        <v>13</v>
      </c>
      <c r="F52" s="86">
        <v>16.55</v>
      </c>
      <c r="G52" s="86">
        <v>140243.93</v>
      </c>
      <c r="H52" s="87">
        <f>F52*G52</f>
        <v>2321037.0414999998</v>
      </c>
    </row>
    <row r="53" spans="1:8" ht="25.5">
      <c r="A53" s="159"/>
      <c r="B53" s="162"/>
      <c r="C53" s="165"/>
      <c r="D53" s="88" t="s">
        <v>16</v>
      </c>
      <c r="E53" s="89" t="s">
        <v>15</v>
      </c>
      <c r="F53" s="90">
        <v>3038.0450000000001</v>
      </c>
      <c r="G53" s="91">
        <v>0</v>
      </c>
      <c r="H53" s="92">
        <f>F53*G53</f>
        <v>0</v>
      </c>
    </row>
    <row r="54" spans="1:8" ht="25.5">
      <c r="A54" s="159"/>
      <c r="B54" s="162"/>
      <c r="C54" s="165"/>
      <c r="D54" s="88" t="s">
        <v>17</v>
      </c>
      <c r="E54" s="89" t="s">
        <v>15</v>
      </c>
      <c r="F54" s="90">
        <v>287.38400000000001</v>
      </c>
      <c r="G54" s="91">
        <v>0</v>
      </c>
      <c r="H54" s="92">
        <f>F54*G54</f>
        <v>0</v>
      </c>
    </row>
    <row r="55" spans="1:8">
      <c r="A55" s="159"/>
      <c r="B55" s="162"/>
      <c r="C55" s="165"/>
      <c r="D55" s="88" t="s">
        <v>18</v>
      </c>
      <c r="E55" s="89" t="s">
        <v>15</v>
      </c>
      <c r="F55" s="90">
        <v>693.11199999999997</v>
      </c>
      <c r="G55" s="91">
        <v>0</v>
      </c>
      <c r="H55" s="92">
        <f>F55*G55</f>
        <v>0</v>
      </c>
    </row>
    <row r="56" spans="1:8">
      <c r="A56" s="159"/>
      <c r="B56" s="162"/>
      <c r="C56" s="165"/>
      <c r="D56" s="93" t="s">
        <v>19</v>
      </c>
      <c r="E56" s="94"/>
      <c r="F56" s="95">
        <f>F52</f>
        <v>16.55</v>
      </c>
      <c r="G56" s="95"/>
      <c r="H56" s="96">
        <f>H52</f>
        <v>2321037.0414999998</v>
      </c>
    </row>
    <row r="57" spans="1:8" ht="16.5" thickBot="1">
      <c r="A57" s="160"/>
      <c r="B57" s="163"/>
      <c r="C57" s="166"/>
      <c r="D57" s="102" t="s">
        <v>20</v>
      </c>
      <c r="E57" s="103"/>
      <c r="F57" s="104">
        <f>F53+F54+F55</f>
        <v>4018.5410000000002</v>
      </c>
      <c r="G57" s="105"/>
      <c r="H57" s="106">
        <f>H53+H54+H55</f>
        <v>0</v>
      </c>
    </row>
    <row r="58" spans="1:8">
      <c r="A58" s="158">
        <v>10</v>
      </c>
      <c r="B58" s="161" t="s">
        <v>29</v>
      </c>
      <c r="C58" s="164" t="s">
        <v>11</v>
      </c>
      <c r="D58" s="84" t="s">
        <v>12</v>
      </c>
      <c r="E58" s="85" t="s">
        <v>13</v>
      </c>
      <c r="F58" s="86">
        <v>16.55</v>
      </c>
      <c r="G58" s="86">
        <v>140243.93</v>
      </c>
      <c r="H58" s="87">
        <f>F58*G58</f>
        <v>2321037.0414999998</v>
      </c>
    </row>
    <row r="59" spans="1:8" ht="25.5">
      <c r="A59" s="159"/>
      <c r="B59" s="162"/>
      <c r="C59" s="165"/>
      <c r="D59" s="88" t="s">
        <v>16</v>
      </c>
      <c r="E59" s="89" t="s">
        <v>15</v>
      </c>
      <c r="F59" s="90">
        <v>3757.817</v>
      </c>
      <c r="G59" s="91">
        <v>0</v>
      </c>
      <c r="H59" s="92">
        <f>F59*G59</f>
        <v>0</v>
      </c>
    </row>
    <row r="60" spans="1:8" ht="25.5">
      <c r="A60" s="159"/>
      <c r="B60" s="162"/>
      <c r="C60" s="165"/>
      <c r="D60" s="88" t="s">
        <v>17</v>
      </c>
      <c r="E60" s="89" t="s">
        <v>15</v>
      </c>
      <c r="F60" s="90">
        <v>280.66399999999999</v>
      </c>
      <c r="G60" s="91">
        <v>0</v>
      </c>
      <c r="H60" s="92">
        <f>F60*G60</f>
        <v>0</v>
      </c>
    </row>
    <row r="61" spans="1:8">
      <c r="A61" s="159"/>
      <c r="B61" s="162"/>
      <c r="C61" s="165"/>
      <c r="D61" s="88" t="s">
        <v>18</v>
      </c>
      <c r="E61" s="89" t="s">
        <v>15</v>
      </c>
      <c r="F61" s="90">
        <v>628.47400000000005</v>
      </c>
      <c r="G61" s="91">
        <v>0</v>
      </c>
      <c r="H61" s="92">
        <f>F61*G61</f>
        <v>0</v>
      </c>
    </row>
    <row r="62" spans="1:8">
      <c r="A62" s="159"/>
      <c r="B62" s="162"/>
      <c r="C62" s="165"/>
      <c r="D62" s="93" t="s">
        <v>19</v>
      </c>
      <c r="E62" s="94"/>
      <c r="F62" s="95">
        <f>F58</f>
        <v>16.55</v>
      </c>
      <c r="G62" s="95"/>
      <c r="H62" s="96">
        <f>H58</f>
        <v>2321037.0414999998</v>
      </c>
    </row>
    <row r="63" spans="1:8" ht="16.5" thickBot="1">
      <c r="A63" s="160"/>
      <c r="B63" s="163"/>
      <c r="C63" s="166"/>
      <c r="D63" s="102" t="s">
        <v>20</v>
      </c>
      <c r="E63" s="103"/>
      <c r="F63" s="104">
        <f>F59+F60+F61</f>
        <v>4666.9549999999999</v>
      </c>
      <c r="G63" s="105"/>
      <c r="H63" s="106">
        <f>H59+H60+H61</f>
        <v>0</v>
      </c>
    </row>
    <row r="64" spans="1:8" ht="16.5" customHeight="1">
      <c r="A64" s="158">
        <v>11</v>
      </c>
      <c r="B64" s="161" t="s">
        <v>30</v>
      </c>
      <c r="C64" s="164" t="s">
        <v>11</v>
      </c>
      <c r="D64" s="84" t="s">
        <v>12</v>
      </c>
      <c r="E64" s="85" t="s">
        <v>13</v>
      </c>
      <c r="F64" s="86">
        <v>16.55</v>
      </c>
      <c r="G64" s="86">
        <v>140243.93</v>
      </c>
      <c r="H64" s="87">
        <f>F64*G64</f>
        <v>2321037.0414999998</v>
      </c>
    </row>
    <row r="65" spans="1:10" ht="25.5">
      <c r="A65" s="159"/>
      <c r="B65" s="162"/>
      <c r="C65" s="165"/>
      <c r="D65" s="88" t="s">
        <v>16</v>
      </c>
      <c r="E65" s="89" t="s">
        <v>15</v>
      </c>
      <c r="F65" s="90">
        <v>3953.7710000000002</v>
      </c>
      <c r="G65" s="91">
        <v>0</v>
      </c>
      <c r="H65" s="92">
        <f>F65*G65</f>
        <v>0</v>
      </c>
    </row>
    <row r="66" spans="1:10" ht="25.5">
      <c r="A66" s="159"/>
      <c r="B66" s="162"/>
      <c r="C66" s="165"/>
      <c r="D66" s="88" t="s">
        <v>17</v>
      </c>
      <c r="E66" s="89" t="s">
        <v>15</v>
      </c>
      <c r="F66" s="90">
        <v>291.35199999999998</v>
      </c>
      <c r="G66" s="91">
        <v>0</v>
      </c>
      <c r="H66" s="92">
        <f>F66*G66</f>
        <v>0</v>
      </c>
    </row>
    <row r="67" spans="1:10">
      <c r="A67" s="159"/>
      <c r="B67" s="162"/>
      <c r="C67" s="165"/>
      <c r="D67" s="88" t="s">
        <v>18</v>
      </c>
      <c r="E67" s="89" t="s">
        <v>15</v>
      </c>
      <c r="F67" s="90">
        <v>645.41200000000003</v>
      </c>
      <c r="G67" s="91">
        <v>0</v>
      </c>
      <c r="H67" s="92">
        <f>F67*G67</f>
        <v>0</v>
      </c>
    </row>
    <row r="68" spans="1:10">
      <c r="A68" s="159"/>
      <c r="B68" s="162"/>
      <c r="C68" s="165"/>
      <c r="D68" s="93" t="s">
        <v>19</v>
      </c>
      <c r="E68" s="94"/>
      <c r="F68" s="95">
        <f>F64</f>
        <v>16.55</v>
      </c>
      <c r="G68" s="95"/>
      <c r="H68" s="96">
        <f>H64</f>
        <v>2321037.0414999998</v>
      </c>
    </row>
    <row r="69" spans="1:10" ht="16.5" thickBot="1">
      <c r="A69" s="160"/>
      <c r="B69" s="163"/>
      <c r="C69" s="166"/>
      <c r="D69" s="102" t="s">
        <v>20</v>
      </c>
      <c r="E69" s="103"/>
      <c r="F69" s="104">
        <f>F65+F66+F67</f>
        <v>4890.5350000000008</v>
      </c>
      <c r="G69" s="105"/>
      <c r="H69" s="106">
        <f>H65+H66+H67</f>
        <v>0</v>
      </c>
    </row>
    <row r="70" spans="1:10" ht="16.5" customHeight="1">
      <c r="A70" s="158">
        <v>12</v>
      </c>
      <c r="B70" s="161" t="s">
        <v>31</v>
      </c>
      <c r="C70" s="164" t="s">
        <v>11</v>
      </c>
      <c r="D70" s="84" t="s">
        <v>12</v>
      </c>
      <c r="E70" s="85" t="s">
        <v>13</v>
      </c>
      <c r="F70" s="86">
        <v>16.55</v>
      </c>
      <c r="G70" s="86">
        <v>140243.93</v>
      </c>
      <c r="H70" s="87">
        <f>F70*G70</f>
        <v>2321037.0414999998</v>
      </c>
    </row>
    <row r="71" spans="1:10" ht="25.5">
      <c r="A71" s="159"/>
      <c r="B71" s="162"/>
      <c r="C71" s="165"/>
      <c r="D71" s="88" t="s">
        <v>16</v>
      </c>
      <c r="E71" s="89" t="s">
        <v>15</v>
      </c>
      <c r="F71" s="90">
        <v>5703.2730000000001</v>
      </c>
      <c r="G71" s="91">
        <v>0</v>
      </c>
      <c r="H71" s="92">
        <f>F71*G71</f>
        <v>0</v>
      </c>
    </row>
    <row r="72" spans="1:10" ht="25.5">
      <c r="A72" s="159"/>
      <c r="B72" s="162"/>
      <c r="C72" s="165"/>
      <c r="D72" s="88" t="s">
        <v>17</v>
      </c>
      <c r="E72" s="89" t="s">
        <v>15</v>
      </c>
      <c r="F72" s="90">
        <v>288.16300000000001</v>
      </c>
      <c r="G72" s="91">
        <v>0</v>
      </c>
      <c r="H72" s="92">
        <f>F72*G72</f>
        <v>0</v>
      </c>
    </row>
    <row r="73" spans="1:10">
      <c r="A73" s="159"/>
      <c r="B73" s="162"/>
      <c r="C73" s="165"/>
      <c r="D73" s="88" t="s">
        <v>18</v>
      </c>
      <c r="E73" s="89" t="s">
        <v>15</v>
      </c>
      <c r="F73" s="90">
        <v>587.78800000000001</v>
      </c>
      <c r="G73" s="91">
        <v>0</v>
      </c>
      <c r="H73" s="92">
        <f>F73*G73</f>
        <v>0</v>
      </c>
    </row>
    <row r="74" spans="1:10">
      <c r="A74" s="159"/>
      <c r="B74" s="162"/>
      <c r="C74" s="165"/>
      <c r="D74" s="93" t="s">
        <v>19</v>
      </c>
      <c r="E74" s="94"/>
      <c r="F74" s="95">
        <f>F70</f>
        <v>16.55</v>
      </c>
      <c r="G74" s="95"/>
      <c r="H74" s="96">
        <f>H70</f>
        <v>2321037.0414999998</v>
      </c>
    </row>
    <row r="75" spans="1:10" ht="16.5" thickBot="1">
      <c r="A75" s="160"/>
      <c r="B75" s="163"/>
      <c r="C75" s="166"/>
      <c r="D75" s="102" t="s">
        <v>20</v>
      </c>
      <c r="E75" s="103"/>
      <c r="F75" s="104">
        <f>F71+F72+F73</f>
        <v>6579.2240000000002</v>
      </c>
      <c r="G75" s="105"/>
      <c r="H75" s="106">
        <f>H71+H72+H73</f>
        <v>0</v>
      </c>
    </row>
    <row r="76" spans="1:10">
      <c r="A76" s="158">
        <v>13</v>
      </c>
      <c r="B76" s="161">
        <v>2016</v>
      </c>
      <c r="C76" s="164" t="s">
        <v>11</v>
      </c>
      <c r="D76" s="84" t="s">
        <v>12</v>
      </c>
      <c r="E76" s="85" t="s">
        <v>13</v>
      </c>
      <c r="F76" s="86">
        <v>16.55</v>
      </c>
      <c r="G76" s="86">
        <v>140243.93</v>
      </c>
      <c r="H76" s="87">
        <f>F76*G76*12</f>
        <v>27852444.497999996</v>
      </c>
      <c r="J76" s="46"/>
    </row>
    <row r="77" spans="1:10" ht="25.5">
      <c r="A77" s="159"/>
      <c r="B77" s="162"/>
      <c r="C77" s="165"/>
      <c r="D77" s="88" t="s">
        <v>16</v>
      </c>
      <c r="E77" s="89" t="s">
        <v>15</v>
      </c>
      <c r="F77" s="90">
        <f>F5+F11+F17+F23+F29+F35+F41+F47+F53+F59+F65+F71</f>
        <v>46943.602000000006</v>
      </c>
      <c r="G77" s="91">
        <v>0</v>
      </c>
      <c r="H77" s="92">
        <f>H5+H11+H17+H23+H29+H35+H41+H47+H53+H59+H65+H71</f>
        <v>0</v>
      </c>
    </row>
    <row r="78" spans="1:10" ht="25.5">
      <c r="A78" s="159"/>
      <c r="B78" s="162"/>
      <c r="C78" s="165"/>
      <c r="D78" s="88" t="s">
        <v>17</v>
      </c>
      <c r="E78" s="89" t="s">
        <v>15</v>
      </c>
      <c r="F78" s="90">
        <f>F6+F12+F18+F24+F30+F36+F42+F48+F54+F60+F66+F72</f>
        <v>2039.0250000000001</v>
      </c>
      <c r="G78" s="91">
        <v>0</v>
      </c>
      <c r="H78" s="92">
        <f>H6+H12+H18+H24+H30+H36+H42+H48+H54+H60+H66+H72</f>
        <v>0</v>
      </c>
    </row>
    <row r="79" spans="1:10">
      <c r="A79" s="159"/>
      <c r="B79" s="162"/>
      <c r="C79" s="165"/>
      <c r="D79" s="88" t="s">
        <v>18</v>
      </c>
      <c r="E79" s="89" t="s">
        <v>15</v>
      </c>
      <c r="F79" s="90">
        <f>F7+F13+F19+F25+F31+F37+F43+F49+F55+F61+F67+F73</f>
        <v>8145.9090000000015</v>
      </c>
      <c r="G79" s="91">
        <v>0</v>
      </c>
      <c r="H79" s="92">
        <f>H7+H13+H19+H25+H31+H37+H43+H49+H55+H61+H67+H73</f>
        <v>0</v>
      </c>
    </row>
    <row r="80" spans="1:10">
      <c r="A80" s="159"/>
      <c r="B80" s="162"/>
      <c r="C80" s="165"/>
      <c r="D80" s="93" t="s">
        <v>19</v>
      </c>
      <c r="E80" s="94"/>
      <c r="F80" s="95">
        <f>F76</f>
        <v>16.55</v>
      </c>
      <c r="G80" s="95"/>
      <c r="H80" s="96">
        <f>H76</f>
        <v>27852444.497999996</v>
      </c>
    </row>
    <row r="81" spans="1:8" ht="16.5" thickBot="1">
      <c r="A81" s="160"/>
      <c r="B81" s="163"/>
      <c r="C81" s="166"/>
      <c r="D81" s="102" t="s">
        <v>20</v>
      </c>
      <c r="E81" s="103"/>
      <c r="F81" s="104">
        <f>F77+F78+F79</f>
        <v>57128.536000000007</v>
      </c>
      <c r="G81" s="105"/>
      <c r="H81" s="106">
        <f>H77+H78+H79</f>
        <v>0</v>
      </c>
    </row>
    <row r="82" spans="1:8">
      <c r="A82" s="50"/>
      <c r="B82" s="50"/>
      <c r="C82" s="51"/>
      <c r="D82" s="52"/>
      <c r="E82" s="53"/>
      <c r="F82" s="54"/>
      <c r="G82" s="55"/>
      <c r="H82" s="55"/>
    </row>
    <row r="83" spans="1:8" s="56" customFormat="1" ht="18.75">
      <c r="E83" s="57"/>
    </row>
    <row r="84" spans="1:8" s="56" customFormat="1" ht="18.75">
      <c r="B84" s="56" t="s">
        <v>51</v>
      </c>
      <c r="E84" s="57"/>
      <c r="F84" s="56" t="s">
        <v>33</v>
      </c>
    </row>
    <row r="85" spans="1:8" s="56" customFormat="1" ht="18.75">
      <c r="E85" s="57"/>
    </row>
    <row r="86" spans="1:8" s="56" customFormat="1" ht="18.75">
      <c r="B86" s="56" t="s">
        <v>34</v>
      </c>
      <c r="E86" s="57"/>
      <c r="F86" s="56" t="s">
        <v>35</v>
      </c>
    </row>
  </sheetData>
  <mergeCells count="41">
    <mergeCell ref="A10:A15"/>
    <mergeCell ref="B10:B15"/>
    <mergeCell ref="C10:C15"/>
    <mergeCell ref="A1:H1"/>
    <mergeCell ref="J3:L3"/>
    <mergeCell ref="A4:A9"/>
    <mergeCell ref="B4:B9"/>
    <mergeCell ref="C4:C9"/>
    <mergeCell ref="A16:A21"/>
    <mergeCell ref="B16:B21"/>
    <mergeCell ref="C16:C21"/>
    <mergeCell ref="A22:A27"/>
    <mergeCell ref="B22:B27"/>
    <mergeCell ref="C22:C27"/>
    <mergeCell ref="A28:A33"/>
    <mergeCell ref="B28:B33"/>
    <mergeCell ref="C28:C33"/>
    <mergeCell ref="A34:A39"/>
    <mergeCell ref="B34:B39"/>
    <mergeCell ref="C34:C39"/>
    <mergeCell ref="A40:A45"/>
    <mergeCell ref="B40:B45"/>
    <mergeCell ref="C40:C45"/>
    <mergeCell ref="A46:A51"/>
    <mergeCell ref="B46:B51"/>
    <mergeCell ref="C46:C51"/>
    <mergeCell ref="A52:A57"/>
    <mergeCell ref="B52:B57"/>
    <mergeCell ref="C52:C57"/>
    <mergeCell ref="A58:A63"/>
    <mergeCell ref="B58:B63"/>
    <mergeCell ref="C58:C63"/>
    <mergeCell ref="A76:A81"/>
    <mergeCell ref="B76:B81"/>
    <mergeCell ref="C76:C81"/>
    <mergeCell ref="A64:A69"/>
    <mergeCell ref="B64:B69"/>
    <mergeCell ref="C64:C69"/>
    <mergeCell ref="A70:A75"/>
    <mergeCell ref="B70:B75"/>
    <mergeCell ref="C70:C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Krivneva</dc:creator>
  <cp:lastModifiedBy>Krivneva</cp:lastModifiedBy>
  <dcterms:created xsi:type="dcterms:W3CDTF">2024-01-25T11:20:43Z</dcterms:created>
  <dcterms:modified xsi:type="dcterms:W3CDTF">2024-12-25T07:00:28Z</dcterms:modified>
</cp:coreProperties>
</file>